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Brian Huckstep New\OneDrive - YHLSOFT, INC\Documents\Presentations\2023-03-16 T3 Trading Class\"/>
    </mc:Choice>
  </mc:AlternateContent>
  <xr:revisionPtr revIDLastSave="1" documentId="13_ncr:1_{93246F68-647F-4F42-8F6E-7B28D352809B}" xr6:coauthVersionLast="36" xr6:coauthVersionMax="36" xr10:uidLastSave="{C9D6115B-98D2-49B7-A739-97249DDAF78D}"/>
  <bookViews>
    <workbookView xWindow="0" yWindow="0" windowWidth="28800" windowHeight="13020" xr2:uid="{00000000-000D-0000-FFFF-FFFF00000000}"/>
  </bookViews>
  <sheets>
    <sheet name="Overview" sheetId="7" r:id="rId1"/>
    <sheet name="Overview - Text" sheetId="1" r:id="rId2"/>
    <sheet name="Cash Contrib Math" sheetId="2" r:id="rId3"/>
    <sheet name="OOT Trade Math" sheetId="4" r:id="rId4"/>
    <sheet name="Risk Stats for Calcs (orig ord)" sheetId="3" r:id="rId5"/>
    <sheet name="Risk Stat Calcs (offage order)" sheetId="5" r:id="rId6"/>
    <sheet name="Adjusting for Cash Min %" sheetId="6" r:id="rId7"/>
  </sheets>
  <definedNames>
    <definedName name="solver_adj" localSheetId="2" hidden="1">'Cash Contrib Math'!$Q$83,'Cash Contrib Math'!$Q$85,'Cash Contrib Math'!$Q$87,'Cash Contrib Math'!$Q$89,'Cash Contrib Math'!$Q$90,'Cash Contrib Math'!$Q$91</definedName>
    <definedName name="solver_adj" localSheetId="3" hidden="1">'OOT Trade Math'!$Q$67,'OOT Trade Math'!$Q$69,'OOT Trade Math'!$Q$71,'OOT Trade Math'!$Q$73,'OOT Trade Math'!$Q$74,'OOT Trade Math'!$Q$75</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ng" localSheetId="2" hidden="1">1</definedName>
    <definedName name="solver_eng" localSheetId="3" hidden="1">1</definedName>
    <definedName name="solver_est" localSheetId="2" hidden="1">1</definedName>
    <definedName name="solver_est" localSheetId="3" hidden="1">1</definedName>
    <definedName name="solver_itr" localSheetId="2" hidden="1">2147483647</definedName>
    <definedName name="solver_itr" localSheetId="3" hidden="1">2147483647</definedName>
    <definedName name="solver_lhs1" localSheetId="2" hidden="1">'Cash Contrib Math'!$Q$83</definedName>
    <definedName name="solver_lhs1" localSheetId="3" hidden="1">'OOT Trade Math'!$Q$67</definedName>
    <definedName name="solver_lhs10" localSheetId="3" hidden="1">'OOT Trade Math'!$Q$76</definedName>
    <definedName name="solver_lhs11" localSheetId="3" hidden="1">'OOT Trade Math'!$Q$77</definedName>
    <definedName name="solver_lhs12" localSheetId="3" hidden="1">'OOT Trade Math'!$Q$79</definedName>
    <definedName name="solver_lhs2" localSheetId="2" hidden="1">'Cash Contrib Math'!$Q$83:$Q$93</definedName>
    <definedName name="solver_lhs2" localSheetId="3" hidden="1">'OOT Trade Math'!$Q$68</definedName>
    <definedName name="solver_lhs3" localSheetId="2" hidden="1">'Cash Contrib Math'!$Q$85</definedName>
    <definedName name="solver_lhs3" localSheetId="3" hidden="1">'OOT Trade Math'!$Q$69</definedName>
    <definedName name="solver_lhs4" localSheetId="2" hidden="1">'Cash Contrib Math'!$Q$87</definedName>
    <definedName name="solver_lhs4" localSheetId="3" hidden="1">'OOT Trade Math'!$Q$70</definedName>
    <definedName name="solver_lhs5" localSheetId="2" hidden="1">'Cash Contrib Math'!$Q$89</definedName>
    <definedName name="solver_lhs5" localSheetId="3" hidden="1">'OOT Trade Math'!$Q$71</definedName>
    <definedName name="solver_lhs6" localSheetId="2" hidden="1">'Cash Contrib Math'!$Q$90</definedName>
    <definedName name="solver_lhs6" localSheetId="3" hidden="1">'OOT Trade Math'!$Q$72</definedName>
    <definedName name="solver_lhs7" localSheetId="2" hidden="1">'Cash Contrib Math'!$Q$91</definedName>
    <definedName name="solver_lhs7" localSheetId="3" hidden="1">'OOT Trade Math'!$Q$73</definedName>
    <definedName name="solver_lhs8" localSheetId="2" hidden="1">'Cash Contrib Math'!$Q$95</definedName>
    <definedName name="solver_lhs8" localSheetId="3" hidden="1">'OOT Trade Math'!$Q$74</definedName>
    <definedName name="solver_lhs9" localSheetId="3" hidden="1">'OOT Trade Math'!$Q$75</definedName>
    <definedName name="solver_mip" localSheetId="2" hidden="1">2147483647</definedName>
    <definedName name="solver_mip" localSheetId="3" hidden="1">2147483647</definedName>
    <definedName name="solver_mni" localSheetId="2" hidden="1">30</definedName>
    <definedName name="solver_mni" localSheetId="3" hidden="1">30</definedName>
    <definedName name="solver_mrt" localSheetId="2" hidden="1">0.075</definedName>
    <definedName name="solver_mrt" localSheetId="3" hidden="1">0.075</definedName>
    <definedName name="solver_msl" localSheetId="2" hidden="1">2</definedName>
    <definedName name="solver_msl" localSheetId="3" hidden="1">2</definedName>
    <definedName name="solver_neg" localSheetId="2" hidden="1">1</definedName>
    <definedName name="solver_neg" localSheetId="3" hidden="1">1</definedName>
    <definedName name="solver_nod" localSheetId="2" hidden="1">2147483647</definedName>
    <definedName name="solver_nod" localSheetId="3" hidden="1">2147483647</definedName>
    <definedName name="solver_num" localSheetId="2" hidden="1">8</definedName>
    <definedName name="solver_num" localSheetId="3" hidden="1">12</definedName>
    <definedName name="solver_nwt" localSheetId="2" hidden="1">1</definedName>
    <definedName name="solver_nwt" localSheetId="3" hidden="1">1</definedName>
    <definedName name="solver_opt" localSheetId="2" hidden="1">'Cash Contrib Math'!$T$96</definedName>
    <definedName name="solver_opt" localSheetId="3" hidden="1">'OOT Trade Math'!$T$80</definedName>
    <definedName name="solver_pre" localSheetId="2" hidden="1">0.000001</definedName>
    <definedName name="solver_pre" localSheetId="3" hidden="1">0.000001</definedName>
    <definedName name="solver_rbv" localSheetId="2" hidden="1">1</definedName>
    <definedName name="solver_rbv" localSheetId="3" hidden="1">1</definedName>
    <definedName name="solver_rel1" localSheetId="2" hidden="1">1</definedName>
    <definedName name="solver_rel1" localSheetId="3" hidden="1">1</definedName>
    <definedName name="solver_rel10" localSheetId="3" hidden="1">3</definedName>
    <definedName name="solver_rel11" localSheetId="3" hidden="1">3</definedName>
    <definedName name="solver_rel12" localSheetId="3" hidden="1">2</definedName>
    <definedName name="solver_rel2" localSheetId="2" hidden="1">3</definedName>
    <definedName name="solver_rel2" localSheetId="3" hidden="1">1</definedName>
    <definedName name="solver_rel3" localSheetId="2" hidden="1">1</definedName>
    <definedName name="solver_rel3" localSheetId="3" hidden="1">1</definedName>
    <definedName name="solver_rel4" localSheetId="2" hidden="1">1</definedName>
    <definedName name="solver_rel4" localSheetId="3" hidden="1">1</definedName>
    <definedName name="solver_rel5" localSheetId="2" hidden="1">1</definedName>
    <definedName name="solver_rel5" localSheetId="3" hidden="1">1</definedName>
    <definedName name="solver_rel6" localSheetId="2" hidden="1">1</definedName>
    <definedName name="solver_rel6" localSheetId="3" hidden="1">2</definedName>
    <definedName name="solver_rel7" localSheetId="2" hidden="1">1</definedName>
    <definedName name="solver_rel7" localSheetId="3" hidden="1">3</definedName>
    <definedName name="solver_rel8" localSheetId="2" hidden="1">2</definedName>
    <definedName name="solver_rel8" localSheetId="3" hidden="1">3</definedName>
    <definedName name="solver_rel9" localSheetId="3" hidden="1">3</definedName>
    <definedName name="solver_rhs1" localSheetId="2" hidden="1">'Cash Contrib Math'!$AJ$83</definedName>
    <definedName name="solver_rhs1" localSheetId="3" hidden="1">'OOT Trade Math'!$AI$67</definedName>
    <definedName name="solver_rhs10" localSheetId="3" hidden="1">'OOT Trade Math'!$AI$76</definedName>
    <definedName name="solver_rhs11" localSheetId="3" hidden="1">'OOT Trade Math'!$AI$77</definedName>
    <definedName name="solver_rhs12" localSheetId="3" hidden="1">0</definedName>
    <definedName name="solver_rhs2" localSheetId="2" hidden="1">0</definedName>
    <definedName name="solver_rhs2" localSheetId="3" hidden="1">'OOT Trade Math'!$AI$68</definedName>
    <definedName name="solver_rhs3" localSheetId="2" hidden="1">'Cash Contrib Math'!$AJ$85</definedName>
    <definedName name="solver_rhs3" localSheetId="3" hidden="1">'OOT Trade Math'!$AI$69</definedName>
    <definedName name="solver_rhs4" localSheetId="2" hidden="1">'Cash Contrib Math'!$AJ$87</definedName>
    <definedName name="solver_rhs4" localSheetId="3" hidden="1">'OOT Trade Math'!$AI$70</definedName>
    <definedName name="solver_rhs5" localSheetId="2" hidden="1">'Cash Contrib Math'!$AJ$89</definedName>
    <definedName name="solver_rhs5" localSheetId="3" hidden="1">'OOT Trade Math'!$AI$71</definedName>
    <definedName name="solver_rhs6" localSheetId="2" hidden="1">'Cash Contrib Math'!$AJ$90</definedName>
    <definedName name="solver_rhs6" localSheetId="3" hidden="1">0</definedName>
    <definedName name="solver_rhs7" localSheetId="2" hidden="1">'Cash Contrib Math'!$AJ$91</definedName>
    <definedName name="solver_rhs7" localSheetId="3" hidden="1">'OOT Trade Math'!$AI$73</definedName>
    <definedName name="solver_rhs8" localSheetId="2" hidden="1">5000</definedName>
    <definedName name="solver_rhs8" localSheetId="3" hidden="1">'OOT Trade Math'!$AI$74</definedName>
    <definedName name="solver_rhs9" localSheetId="3" hidden="1">'OOT Trade Math'!$AI$75</definedName>
    <definedName name="solver_rlx" localSheetId="2" hidden="1">2</definedName>
    <definedName name="solver_rlx" localSheetId="3" hidden="1">2</definedName>
    <definedName name="solver_rsd" localSheetId="2" hidden="1">0</definedName>
    <definedName name="solver_rsd" localSheetId="3" hidden="1">0</definedName>
    <definedName name="solver_scl" localSheetId="2" hidden="1">1</definedName>
    <definedName name="solver_scl" localSheetId="3" hidden="1">1</definedName>
    <definedName name="solver_sho" localSheetId="2" hidden="1">2</definedName>
    <definedName name="solver_sho" localSheetId="3" hidden="1">2</definedName>
    <definedName name="solver_ssz" localSheetId="2" hidden="1">100</definedName>
    <definedName name="solver_ssz" localSheetId="3" hidden="1">100</definedName>
    <definedName name="solver_tim" localSheetId="2" hidden="1">2147483647</definedName>
    <definedName name="solver_tim" localSheetId="3" hidden="1">2147483647</definedName>
    <definedName name="solver_tol" localSheetId="2" hidden="1">0.01</definedName>
    <definedName name="solver_tol" localSheetId="3" hidden="1">0.01</definedName>
    <definedName name="solver_typ" localSheetId="2" hidden="1">2</definedName>
    <definedName name="solver_typ" localSheetId="3" hidden="1">3</definedName>
    <definedName name="solver_val" localSheetId="2" hidden="1">0</definedName>
    <definedName name="solver_val" localSheetId="3" hidden="1">0.01</definedName>
    <definedName name="solver_ver" localSheetId="2" hidden="1">3</definedName>
    <definedName name="solver_ver" localSheetId="3" hidde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4" l="1"/>
  <c r="F76" i="4"/>
  <c r="F75" i="4"/>
  <c r="F74" i="4"/>
  <c r="F73" i="4"/>
  <c r="F72" i="4"/>
  <c r="F71" i="4"/>
  <c r="F70" i="4"/>
  <c r="F69" i="4"/>
  <c r="F68" i="4"/>
  <c r="F67" i="4"/>
  <c r="F61" i="4"/>
  <c r="F60" i="4"/>
  <c r="F59" i="4"/>
  <c r="F58" i="4"/>
  <c r="F57" i="4"/>
  <c r="F56" i="4"/>
  <c r="F55" i="4"/>
  <c r="F54" i="4"/>
  <c r="F53" i="4"/>
  <c r="F52" i="4"/>
  <c r="F51" i="4"/>
  <c r="F45" i="4"/>
  <c r="F44" i="4"/>
  <c r="F43" i="4"/>
  <c r="F42" i="4"/>
  <c r="F41" i="4"/>
  <c r="F40" i="4"/>
  <c r="F39" i="4"/>
  <c r="F38" i="4"/>
  <c r="F37" i="4"/>
  <c r="F36" i="4"/>
  <c r="F35" i="4"/>
  <c r="F29" i="4"/>
  <c r="F28" i="4"/>
  <c r="F27" i="4"/>
  <c r="F26" i="4"/>
  <c r="F25" i="4"/>
  <c r="F24" i="4"/>
  <c r="F23" i="4"/>
  <c r="F22" i="4"/>
  <c r="F21" i="4"/>
  <c r="F20" i="4"/>
  <c r="F19" i="4"/>
  <c r="K13" i="6" l="1"/>
  <c r="J13" i="6"/>
  <c r="K12" i="6"/>
  <c r="K11" i="6"/>
  <c r="K10" i="6"/>
  <c r="K9" i="6"/>
  <c r="K8" i="6"/>
  <c r="K7" i="6"/>
  <c r="K6" i="6"/>
  <c r="K5" i="6"/>
  <c r="K4" i="6"/>
  <c r="K3" i="6"/>
  <c r="J12" i="6"/>
  <c r="J11" i="6"/>
  <c r="J10" i="6"/>
  <c r="J9" i="6"/>
  <c r="J8" i="6"/>
  <c r="J7" i="6"/>
  <c r="J6" i="6"/>
  <c r="J5" i="6"/>
  <c r="J4" i="6"/>
  <c r="J3" i="6"/>
  <c r="I12" i="6"/>
  <c r="I11" i="6"/>
  <c r="I10" i="6"/>
  <c r="I9" i="6"/>
  <c r="I8" i="6"/>
  <c r="I7" i="6"/>
  <c r="I6" i="6"/>
  <c r="I5" i="6"/>
  <c r="I4" i="6"/>
  <c r="I3" i="6"/>
  <c r="E15" i="6"/>
  <c r="Y27" i="4"/>
  <c r="Y26" i="4"/>
  <c r="Y25" i="4"/>
  <c r="Y24" i="4"/>
  <c r="Y23" i="4"/>
  <c r="Y21" i="4"/>
  <c r="Y20" i="4"/>
  <c r="Y19" i="4"/>
  <c r="Y43" i="4"/>
  <c r="Y42" i="4"/>
  <c r="Y41" i="4"/>
  <c r="Y40" i="4"/>
  <c r="Y39" i="4"/>
  <c r="Y37" i="4"/>
  <c r="Y36" i="4"/>
  <c r="Y35" i="4"/>
  <c r="Y59" i="4"/>
  <c r="Y58" i="4"/>
  <c r="Y57" i="4"/>
  <c r="Y56" i="4"/>
  <c r="Y55" i="4"/>
  <c r="Y53" i="4"/>
  <c r="Y52" i="4"/>
  <c r="Y51" i="4"/>
  <c r="Y11" i="4"/>
  <c r="Y10" i="4"/>
  <c r="Y73" i="4"/>
  <c r="Y72" i="4"/>
  <c r="AA3" i="5"/>
  <c r="AA4" i="5"/>
  <c r="AA5" i="5"/>
  <c r="AA6" i="5"/>
  <c r="AA7" i="5"/>
  <c r="AA8" i="5"/>
  <c r="AA9" i="5"/>
  <c r="AA10" i="5"/>
  <c r="AA11" i="5"/>
  <c r="AA12" i="5"/>
  <c r="AA13" i="5"/>
  <c r="Q45" i="2" l="1"/>
  <c r="Q44" i="2"/>
  <c r="Q43" i="2"/>
  <c r="Q42" i="2"/>
  <c r="Q41" i="2"/>
  <c r="Q40" i="2"/>
  <c r="Q39" i="2"/>
  <c r="Q38" i="2"/>
  <c r="Q37" i="2"/>
  <c r="Q36" i="2"/>
  <c r="Q35" i="2"/>
  <c r="G31" i="2"/>
  <c r="E31" i="2"/>
  <c r="H26" i="2" s="1"/>
  <c r="H19" i="2" l="1"/>
  <c r="J19" i="2" s="1"/>
  <c r="F22" i="2"/>
  <c r="H27" i="2"/>
  <c r="J27" i="2" s="1"/>
  <c r="F26" i="2"/>
  <c r="H23" i="2"/>
  <c r="F25" i="2"/>
  <c r="I25" i="2" s="1"/>
  <c r="H22" i="2"/>
  <c r="F19" i="2"/>
  <c r="F27" i="2"/>
  <c r="P27" i="2" s="1"/>
  <c r="H24" i="2"/>
  <c r="J24" i="2" s="1"/>
  <c r="F23" i="2"/>
  <c r="H20" i="2"/>
  <c r="J20" i="2" s="1"/>
  <c r="H28" i="2"/>
  <c r="J28" i="2" s="1"/>
  <c r="F24" i="2"/>
  <c r="H21" i="2"/>
  <c r="H29" i="2"/>
  <c r="J29" i="2" s="1"/>
  <c r="F20" i="2"/>
  <c r="P20" i="2" s="1"/>
  <c r="F28" i="2"/>
  <c r="O28" i="2" s="1"/>
  <c r="H25" i="2"/>
  <c r="J25" i="2" s="1"/>
  <c r="F21" i="2"/>
  <c r="F29" i="2"/>
  <c r="J26" i="2"/>
  <c r="F31" i="2"/>
  <c r="J21" i="2"/>
  <c r="J23" i="2"/>
  <c r="J22" i="2"/>
  <c r="H11" i="4"/>
  <c r="H9" i="4"/>
  <c r="H8" i="4"/>
  <c r="H3" i="4"/>
  <c r="F12" i="4"/>
  <c r="F11" i="4"/>
  <c r="F6" i="4"/>
  <c r="F4" i="4"/>
  <c r="F3" i="4"/>
  <c r="Y13" i="5"/>
  <c r="X13" i="5"/>
  <c r="W13" i="5"/>
  <c r="V13" i="5"/>
  <c r="U13" i="5"/>
  <c r="T13" i="5"/>
  <c r="S13" i="5"/>
  <c r="R13" i="5"/>
  <c r="Q13" i="5"/>
  <c r="P13" i="5"/>
  <c r="Y12" i="5"/>
  <c r="X12" i="5"/>
  <c r="W12" i="5"/>
  <c r="V12" i="5"/>
  <c r="U12" i="5"/>
  <c r="T12" i="5"/>
  <c r="S12" i="5"/>
  <c r="R12" i="5"/>
  <c r="Q12" i="5"/>
  <c r="P12" i="5"/>
  <c r="Y11" i="5"/>
  <c r="X11" i="5"/>
  <c r="W11" i="5"/>
  <c r="V11" i="5"/>
  <c r="U11" i="5"/>
  <c r="T11" i="5"/>
  <c r="S11" i="5"/>
  <c r="R11" i="5"/>
  <c r="Q11" i="5"/>
  <c r="P11" i="5"/>
  <c r="Y10" i="5"/>
  <c r="X10" i="5"/>
  <c r="W10" i="5"/>
  <c r="V10" i="5"/>
  <c r="U10" i="5"/>
  <c r="T10" i="5"/>
  <c r="S10" i="5"/>
  <c r="R10" i="5"/>
  <c r="Q10" i="5"/>
  <c r="P10" i="5"/>
  <c r="Y9" i="5"/>
  <c r="X9" i="5"/>
  <c r="W9" i="5"/>
  <c r="V9" i="5"/>
  <c r="U9" i="5"/>
  <c r="T9" i="5"/>
  <c r="S9" i="5"/>
  <c r="R9" i="5"/>
  <c r="Q9" i="5"/>
  <c r="P9" i="5"/>
  <c r="Y8" i="5"/>
  <c r="X8" i="5"/>
  <c r="W8" i="5"/>
  <c r="V8" i="5"/>
  <c r="U8" i="5"/>
  <c r="T8" i="5"/>
  <c r="S8" i="5"/>
  <c r="R8" i="5"/>
  <c r="Q8" i="5"/>
  <c r="P8" i="5"/>
  <c r="Y7" i="5"/>
  <c r="X7" i="5"/>
  <c r="W7" i="5"/>
  <c r="V7" i="5"/>
  <c r="U7" i="5"/>
  <c r="T7" i="5"/>
  <c r="S7" i="5"/>
  <c r="R7" i="5"/>
  <c r="Q7" i="5"/>
  <c r="P7" i="5"/>
  <c r="Y6" i="5"/>
  <c r="X6" i="5"/>
  <c r="W6" i="5"/>
  <c r="V6" i="5"/>
  <c r="U6" i="5"/>
  <c r="T6" i="5"/>
  <c r="S6" i="5"/>
  <c r="R6" i="5"/>
  <c r="Q6" i="5"/>
  <c r="P6" i="5"/>
  <c r="Y5" i="5"/>
  <c r="X5" i="5"/>
  <c r="W5" i="5"/>
  <c r="V5" i="5"/>
  <c r="U5" i="5"/>
  <c r="T5" i="5"/>
  <c r="S5" i="5"/>
  <c r="R5" i="5"/>
  <c r="Q5" i="5"/>
  <c r="P5" i="5"/>
  <c r="Y4" i="5"/>
  <c r="X4" i="5"/>
  <c r="W4" i="5"/>
  <c r="V4" i="5"/>
  <c r="U4" i="5"/>
  <c r="T4" i="5"/>
  <c r="S4" i="5"/>
  <c r="R4" i="5"/>
  <c r="Q4" i="5"/>
  <c r="P4" i="5"/>
  <c r="Y3" i="5"/>
  <c r="X3" i="5"/>
  <c r="W3" i="5"/>
  <c r="V3" i="5"/>
  <c r="U3" i="5"/>
  <c r="T3" i="5"/>
  <c r="S3" i="5"/>
  <c r="R3" i="5"/>
  <c r="Q3" i="5"/>
  <c r="P3" i="5"/>
  <c r="O13" i="5"/>
  <c r="O12" i="5"/>
  <c r="O11" i="5"/>
  <c r="O10" i="5"/>
  <c r="O9" i="5"/>
  <c r="O8" i="5"/>
  <c r="O7" i="5"/>
  <c r="O6" i="5"/>
  <c r="O5" i="5"/>
  <c r="O4" i="5"/>
  <c r="O3" i="5"/>
  <c r="H72" i="4"/>
  <c r="J72" i="4" s="1"/>
  <c r="AI72" i="4" s="1"/>
  <c r="O60" i="4"/>
  <c r="P59" i="4"/>
  <c r="H58" i="4"/>
  <c r="J58" i="4" s="1"/>
  <c r="O56" i="4"/>
  <c r="P55" i="4"/>
  <c r="H54" i="4"/>
  <c r="J54" i="4" s="1"/>
  <c r="I52" i="4"/>
  <c r="P51" i="4"/>
  <c r="R61" i="4"/>
  <c r="R60" i="4"/>
  <c r="R59" i="4"/>
  <c r="I59" i="4"/>
  <c r="K59" i="4" s="1"/>
  <c r="R58" i="4"/>
  <c r="R57" i="4"/>
  <c r="R56" i="4"/>
  <c r="P56" i="4"/>
  <c r="R55" i="4"/>
  <c r="R54" i="4"/>
  <c r="R53" i="4"/>
  <c r="R52" i="4"/>
  <c r="R51" i="4"/>
  <c r="O51" i="4"/>
  <c r="I51" i="4"/>
  <c r="K51" i="4" s="1"/>
  <c r="Q47" i="4"/>
  <c r="O42" i="4"/>
  <c r="H40" i="4"/>
  <c r="J40" i="4" s="1"/>
  <c r="P40" i="4"/>
  <c r="P36" i="4"/>
  <c r="R45" i="4"/>
  <c r="R44" i="4"/>
  <c r="R43" i="4"/>
  <c r="R42" i="4"/>
  <c r="R41" i="4"/>
  <c r="R40" i="4"/>
  <c r="R39" i="4"/>
  <c r="R38" i="4"/>
  <c r="R37" i="4"/>
  <c r="R36" i="4"/>
  <c r="I36" i="4"/>
  <c r="L36" i="4" s="1"/>
  <c r="R35" i="4"/>
  <c r="Q31" i="4"/>
  <c r="Q79" i="4"/>
  <c r="G79" i="4"/>
  <c r="E79" i="4"/>
  <c r="H69" i="4" s="1"/>
  <c r="R74" i="4"/>
  <c r="R73" i="4"/>
  <c r="R70" i="4"/>
  <c r="R71" i="4"/>
  <c r="R72" i="4"/>
  <c r="R77" i="4"/>
  <c r="R69" i="4"/>
  <c r="R76" i="4"/>
  <c r="R67" i="4"/>
  <c r="R75" i="4"/>
  <c r="R68" i="4"/>
  <c r="Q63" i="4"/>
  <c r="G63" i="4"/>
  <c r="E63" i="4"/>
  <c r="P61" i="4" s="1"/>
  <c r="G47" i="4"/>
  <c r="E47" i="4"/>
  <c r="H44" i="4" s="1"/>
  <c r="J44" i="4" s="1"/>
  <c r="G31" i="4"/>
  <c r="E31" i="4"/>
  <c r="H28" i="4" s="1"/>
  <c r="R26" i="4"/>
  <c r="R25" i="4"/>
  <c r="R22" i="4"/>
  <c r="R23" i="4"/>
  <c r="R24" i="4"/>
  <c r="R29" i="4"/>
  <c r="R21" i="4"/>
  <c r="R28" i="4"/>
  <c r="R19" i="4"/>
  <c r="R27" i="4"/>
  <c r="G15" i="4"/>
  <c r="E15" i="4"/>
  <c r="H7" i="4" s="1"/>
  <c r="Z89" i="2"/>
  <c r="Z88" i="2"/>
  <c r="Z73" i="2"/>
  <c r="Z72" i="2"/>
  <c r="Z57" i="2"/>
  <c r="Z56" i="2"/>
  <c r="Q63" i="2"/>
  <c r="Q79" i="2"/>
  <c r="Q95" i="2"/>
  <c r="O20" i="2" l="1"/>
  <c r="P19" i="2"/>
  <c r="Z27" i="2"/>
  <c r="I19" i="2"/>
  <c r="Z28" i="2"/>
  <c r="I20" i="2"/>
  <c r="L20" i="2" s="1"/>
  <c r="I28" i="2"/>
  <c r="K28" i="2" s="1"/>
  <c r="P28" i="2"/>
  <c r="O27" i="2"/>
  <c r="O19" i="2"/>
  <c r="P26" i="2"/>
  <c r="O26" i="2"/>
  <c r="I26" i="2"/>
  <c r="L26" i="2" s="1"/>
  <c r="I27" i="2"/>
  <c r="J31" i="2"/>
  <c r="H31" i="2"/>
  <c r="K25" i="2"/>
  <c r="L25" i="2"/>
  <c r="I22" i="2"/>
  <c r="P22" i="2"/>
  <c r="O22" i="2"/>
  <c r="I23" i="2"/>
  <c r="P23" i="2"/>
  <c r="O23" i="2"/>
  <c r="I21" i="2"/>
  <c r="P21" i="2"/>
  <c r="O21" i="2"/>
  <c r="I24" i="2"/>
  <c r="P24" i="2"/>
  <c r="O24" i="2"/>
  <c r="L19" i="2"/>
  <c r="K19" i="2"/>
  <c r="I29" i="2"/>
  <c r="P29" i="2"/>
  <c r="O29" i="2"/>
  <c r="H21" i="4"/>
  <c r="J21" i="4" s="1"/>
  <c r="H29" i="4"/>
  <c r="O39" i="4"/>
  <c r="P45" i="4"/>
  <c r="O55" i="4"/>
  <c r="H53" i="4"/>
  <c r="J53" i="4" s="1"/>
  <c r="H57" i="4"/>
  <c r="J57" i="4" s="1"/>
  <c r="H61" i="4"/>
  <c r="J61" i="4" s="1"/>
  <c r="F9" i="4"/>
  <c r="I9" i="4" s="1"/>
  <c r="K9" i="4" s="1"/>
  <c r="H6" i="4"/>
  <c r="H22" i="4"/>
  <c r="H39" i="4"/>
  <c r="J39" i="4" s="1"/>
  <c r="H45" i="4"/>
  <c r="J45" i="4" s="1"/>
  <c r="O54" i="4"/>
  <c r="I58" i="4"/>
  <c r="L58" i="4" s="1"/>
  <c r="P71" i="4"/>
  <c r="F10" i="4"/>
  <c r="H23" i="4"/>
  <c r="O19" i="4"/>
  <c r="H24" i="4"/>
  <c r="O40" i="4"/>
  <c r="H25" i="4"/>
  <c r="J25" i="4" s="1"/>
  <c r="H35" i="4"/>
  <c r="J35" i="4" s="1"/>
  <c r="H41" i="4"/>
  <c r="J41" i="4" s="1"/>
  <c r="L51" i="4"/>
  <c r="H51" i="4"/>
  <c r="J51" i="4" s="1"/>
  <c r="H55" i="4"/>
  <c r="J55" i="4" s="1"/>
  <c r="H59" i="4"/>
  <c r="J59" i="4" s="1"/>
  <c r="F5" i="4"/>
  <c r="F13" i="4"/>
  <c r="H10" i="4"/>
  <c r="J10" i="4" s="1"/>
  <c r="H26" i="4"/>
  <c r="H19" i="4"/>
  <c r="H27" i="4"/>
  <c r="H37" i="4"/>
  <c r="J37" i="4" s="1"/>
  <c r="H43" i="4"/>
  <c r="J43" i="4" s="1"/>
  <c r="H52" i="4"/>
  <c r="J52" i="4" s="1"/>
  <c r="H56" i="4"/>
  <c r="J56" i="4" s="1"/>
  <c r="H60" i="4"/>
  <c r="J60" i="4" s="1"/>
  <c r="F7" i="4"/>
  <c r="H4" i="4"/>
  <c r="H12" i="4"/>
  <c r="H20" i="4"/>
  <c r="P38" i="4"/>
  <c r="P44" i="4"/>
  <c r="F8" i="4"/>
  <c r="H5" i="4"/>
  <c r="H13" i="4"/>
  <c r="H36" i="4"/>
  <c r="J36" i="4" s="1"/>
  <c r="H42" i="4"/>
  <c r="J42" i="4" s="1"/>
  <c r="P37" i="4"/>
  <c r="H38" i="4"/>
  <c r="J38" i="4" s="1"/>
  <c r="P74" i="4"/>
  <c r="H75" i="4"/>
  <c r="P75" i="4"/>
  <c r="H76" i="4"/>
  <c r="J76" i="4" s="1"/>
  <c r="AI76" i="4" s="1"/>
  <c r="P76" i="4"/>
  <c r="H77" i="4"/>
  <c r="J77" i="4" s="1"/>
  <c r="AI77" i="4" s="1"/>
  <c r="H73" i="4"/>
  <c r="J73" i="4" s="1"/>
  <c r="AI73" i="4" s="1"/>
  <c r="P68" i="4"/>
  <c r="P72" i="4"/>
  <c r="H67" i="4"/>
  <c r="J67" i="4" s="1"/>
  <c r="AI67" i="4" s="1"/>
  <c r="H68" i="4"/>
  <c r="P69" i="4"/>
  <c r="H70" i="4"/>
  <c r="J70" i="4" s="1"/>
  <c r="AI70" i="4" s="1"/>
  <c r="H74" i="4"/>
  <c r="J74" i="4" s="1"/>
  <c r="AI74" i="4" s="1"/>
  <c r="I67" i="4"/>
  <c r="K67" i="4" s="1"/>
  <c r="H71" i="4"/>
  <c r="K58" i="4"/>
  <c r="O61" i="4"/>
  <c r="O58" i="4"/>
  <c r="P58" i="4"/>
  <c r="L52" i="4"/>
  <c r="K52" i="4"/>
  <c r="I54" i="4"/>
  <c r="L59" i="4"/>
  <c r="P52" i="4"/>
  <c r="O53" i="4"/>
  <c r="I55" i="4"/>
  <c r="O59" i="4"/>
  <c r="I61" i="4"/>
  <c r="I60" i="4"/>
  <c r="O52" i="4"/>
  <c r="P54" i="4"/>
  <c r="P60" i="4"/>
  <c r="I56" i="4"/>
  <c r="O36" i="4"/>
  <c r="P42" i="4"/>
  <c r="I40" i="4"/>
  <c r="L40" i="4" s="1"/>
  <c r="I42" i="4"/>
  <c r="L42" i="4" s="1"/>
  <c r="K42" i="4"/>
  <c r="K36" i="4"/>
  <c r="I44" i="4"/>
  <c r="I39" i="4"/>
  <c r="I38" i="4"/>
  <c r="O38" i="4"/>
  <c r="O44" i="4"/>
  <c r="P39" i="4"/>
  <c r="I68" i="4"/>
  <c r="K68" i="4" s="1"/>
  <c r="O77" i="4"/>
  <c r="F47" i="4"/>
  <c r="I47" i="4" s="1"/>
  <c r="I21" i="4"/>
  <c r="J19" i="4"/>
  <c r="P13" i="4"/>
  <c r="J13" i="4"/>
  <c r="J6" i="4"/>
  <c r="J4" i="4"/>
  <c r="I3" i="4"/>
  <c r="L3" i="4" s="1"/>
  <c r="P4" i="4"/>
  <c r="J3" i="4"/>
  <c r="O12" i="4"/>
  <c r="O7" i="4"/>
  <c r="J11" i="4"/>
  <c r="J5" i="4"/>
  <c r="I10" i="4"/>
  <c r="I8" i="4"/>
  <c r="J12" i="4"/>
  <c r="J7" i="4"/>
  <c r="I27" i="4"/>
  <c r="O27" i="4"/>
  <c r="P27" i="4"/>
  <c r="F31" i="4"/>
  <c r="I31" i="4" s="1"/>
  <c r="J23" i="4"/>
  <c r="J27" i="4"/>
  <c r="J26" i="4"/>
  <c r="J24" i="4"/>
  <c r="J28" i="4"/>
  <c r="R47" i="4"/>
  <c r="J22" i="4"/>
  <c r="R63" i="4"/>
  <c r="U55" i="4" s="1"/>
  <c r="P21" i="4"/>
  <c r="F63" i="4"/>
  <c r="I63" i="4" s="1"/>
  <c r="J47" i="4"/>
  <c r="J29" i="4"/>
  <c r="R20" i="4"/>
  <c r="J68" i="4"/>
  <c r="AI68" i="4" s="1"/>
  <c r="R79" i="4"/>
  <c r="U73" i="4" s="1"/>
  <c r="J8" i="4"/>
  <c r="J9" i="4"/>
  <c r="J75" i="4"/>
  <c r="AI75" i="4" s="1"/>
  <c r="J69" i="4"/>
  <c r="AI69" i="4" s="1"/>
  <c r="J71" i="4"/>
  <c r="AI71" i="4" s="1"/>
  <c r="F79" i="4"/>
  <c r="I79" i="4" s="1"/>
  <c r="F15" i="4"/>
  <c r="I69" i="4"/>
  <c r="O72" i="4"/>
  <c r="I71" i="4"/>
  <c r="L28" i="2" l="1"/>
  <c r="K20" i="2"/>
  <c r="K26" i="2"/>
  <c r="L27" i="2"/>
  <c r="K27" i="2"/>
  <c r="O31" i="2"/>
  <c r="I32" i="2" a="1"/>
  <c r="I32" i="2" s="1"/>
  <c r="Z23" i="2" s="1"/>
  <c r="P31" i="2"/>
  <c r="O32" i="2" s="1"/>
  <c r="Z22" i="2" s="1"/>
  <c r="K23" i="2"/>
  <c r="L23" i="2"/>
  <c r="K29" i="2"/>
  <c r="L29" i="2"/>
  <c r="K24" i="2"/>
  <c r="L24" i="2"/>
  <c r="K22" i="2"/>
  <c r="L22" i="2"/>
  <c r="L21" i="2"/>
  <c r="K21" i="2"/>
  <c r="O68" i="4"/>
  <c r="L68" i="4"/>
  <c r="P19" i="4"/>
  <c r="O45" i="4"/>
  <c r="K40" i="4"/>
  <c r="O71" i="4"/>
  <c r="K3" i="4"/>
  <c r="I53" i="4"/>
  <c r="P53" i="4"/>
  <c r="I57" i="4"/>
  <c r="P57" i="4"/>
  <c r="O57" i="4"/>
  <c r="O74" i="4"/>
  <c r="I72" i="4"/>
  <c r="L72" i="4" s="1"/>
  <c r="I45" i="4"/>
  <c r="L45" i="4" s="1"/>
  <c r="U76" i="4"/>
  <c r="U69" i="4"/>
  <c r="U77" i="4"/>
  <c r="U72" i="4"/>
  <c r="U70" i="4"/>
  <c r="U68" i="4"/>
  <c r="U67" i="4"/>
  <c r="U75" i="4"/>
  <c r="U71" i="4"/>
  <c r="U74" i="4"/>
  <c r="P43" i="4"/>
  <c r="O43" i="4"/>
  <c r="I43" i="4"/>
  <c r="O37" i="4"/>
  <c r="I37" i="4"/>
  <c r="L37" i="4" s="1"/>
  <c r="P41" i="4"/>
  <c r="P47" i="4" s="1"/>
  <c r="O41" i="4"/>
  <c r="I41" i="4"/>
  <c r="P35" i="4"/>
  <c r="O35" i="4"/>
  <c r="I35" i="4"/>
  <c r="S67" i="4"/>
  <c r="S68" i="4"/>
  <c r="S76" i="4"/>
  <c r="S75" i="4"/>
  <c r="S73" i="4"/>
  <c r="I75" i="4"/>
  <c r="L67" i="4"/>
  <c r="P77" i="4"/>
  <c r="I77" i="4"/>
  <c r="S77" i="4"/>
  <c r="S71" i="4"/>
  <c r="P67" i="4"/>
  <c r="O67" i="4"/>
  <c r="S70" i="4"/>
  <c r="O76" i="4"/>
  <c r="S74" i="4"/>
  <c r="O69" i="4"/>
  <c r="I74" i="4"/>
  <c r="L74" i="4" s="1"/>
  <c r="S72" i="4"/>
  <c r="O75" i="4"/>
  <c r="I76" i="4"/>
  <c r="L76" i="4" s="1"/>
  <c r="S69" i="4"/>
  <c r="S57" i="4"/>
  <c r="T57" i="4" s="1"/>
  <c r="V57" i="4" s="1"/>
  <c r="S51" i="4"/>
  <c r="S58" i="4"/>
  <c r="T58" i="4" s="1"/>
  <c r="W58" i="4" s="1"/>
  <c r="U54" i="4"/>
  <c r="S54" i="4"/>
  <c r="U53" i="4"/>
  <c r="S53" i="4"/>
  <c r="T53" i="4" s="1"/>
  <c r="U61" i="4"/>
  <c r="U58" i="4"/>
  <c r="U52" i="4"/>
  <c r="U51" i="4"/>
  <c r="U60" i="4"/>
  <c r="S55" i="4"/>
  <c r="T55" i="4" s="1"/>
  <c r="S59" i="4"/>
  <c r="T59" i="4" s="1"/>
  <c r="S52" i="4"/>
  <c r="T52" i="4" s="1"/>
  <c r="V52" i="4" s="1"/>
  <c r="S61" i="4"/>
  <c r="T61" i="4" s="1"/>
  <c r="U59" i="4"/>
  <c r="S56" i="4"/>
  <c r="T56" i="4" s="1"/>
  <c r="V56" i="4" s="1"/>
  <c r="U56" i="4"/>
  <c r="S60" i="4"/>
  <c r="T60" i="4" s="1"/>
  <c r="U57" i="4"/>
  <c r="L56" i="4"/>
  <c r="K56" i="4"/>
  <c r="K55" i="4"/>
  <c r="L55" i="4"/>
  <c r="L54" i="4"/>
  <c r="K54" i="4"/>
  <c r="L60" i="4"/>
  <c r="K60" i="4"/>
  <c r="L61" i="4"/>
  <c r="K61" i="4"/>
  <c r="S41" i="4"/>
  <c r="T41" i="4" s="1"/>
  <c r="W41" i="4" s="1"/>
  <c r="S35" i="4"/>
  <c r="U44" i="4"/>
  <c r="U41" i="4"/>
  <c r="U38" i="4"/>
  <c r="U35" i="4"/>
  <c r="S44" i="4"/>
  <c r="T44" i="4" s="1"/>
  <c r="S38" i="4"/>
  <c r="U39" i="4"/>
  <c r="S45" i="4"/>
  <c r="T45" i="4" s="1"/>
  <c r="S36" i="4"/>
  <c r="T36" i="4" s="1"/>
  <c r="V36" i="4" s="1"/>
  <c r="U43" i="4"/>
  <c r="U40" i="4"/>
  <c r="U37" i="4"/>
  <c r="U42" i="4"/>
  <c r="S42" i="4"/>
  <c r="T42" i="4" s="1"/>
  <c r="S43" i="4"/>
  <c r="T43" i="4" s="1"/>
  <c r="S40" i="4"/>
  <c r="T40" i="4" s="1"/>
  <c r="S37" i="4"/>
  <c r="T37" i="4" s="1"/>
  <c r="U45" i="4"/>
  <c r="U36" i="4"/>
  <c r="S39" i="4"/>
  <c r="T39" i="4" s="1"/>
  <c r="K37" i="4"/>
  <c r="L38" i="4"/>
  <c r="K38" i="4"/>
  <c r="L39" i="4"/>
  <c r="K39" i="4"/>
  <c r="L44" i="4"/>
  <c r="K44" i="4"/>
  <c r="O21" i="4"/>
  <c r="H79" i="4"/>
  <c r="H47" i="4"/>
  <c r="I19" i="4"/>
  <c r="L19" i="4" s="1"/>
  <c r="P10" i="4"/>
  <c r="O4" i="4"/>
  <c r="I4" i="4"/>
  <c r="L4" i="4" s="1"/>
  <c r="O13" i="4"/>
  <c r="I13" i="4"/>
  <c r="K13" i="4" s="1"/>
  <c r="L9" i="4"/>
  <c r="O10" i="4"/>
  <c r="O3" i="4"/>
  <c r="P12" i="4"/>
  <c r="P3" i="4"/>
  <c r="J15" i="4"/>
  <c r="I15" i="4" s="1"/>
  <c r="I12" i="4"/>
  <c r="O11" i="4"/>
  <c r="I11" i="4"/>
  <c r="P11" i="4"/>
  <c r="P8" i="4"/>
  <c r="P7" i="4"/>
  <c r="I7" i="4"/>
  <c r="O8" i="4"/>
  <c r="O5" i="4"/>
  <c r="P5" i="4"/>
  <c r="I5" i="4"/>
  <c r="P6" i="4"/>
  <c r="I6" i="4"/>
  <c r="O6" i="4"/>
  <c r="H63" i="4"/>
  <c r="J63" i="4"/>
  <c r="L21" i="4"/>
  <c r="K21" i="4"/>
  <c r="O24" i="4"/>
  <c r="I24" i="4"/>
  <c r="P24" i="4"/>
  <c r="L69" i="4"/>
  <c r="K69" i="4"/>
  <c r="P25" i="4"/>
  <c r="I25" i="4"/>
  <c r="O25" i="4"/>
  <c r="L27" i="4"/>
  <c r="K27" i="4"/>
  <c r="R31" i="4"/>
  <c r="I20" i="4"/>
  <c r="P20" i="4"/>
  <c r="O20" i="4"/>
  <c r="L75" i="4"/>
  <c r="K75" i="4"/>
  <c r="J79" i="4"/>
  <c r="P22" i="4"/>
  <c r="O22" i="4"/>
  <c r="I22" i="4"/>
  <c r="H15" i="4"/>
  <c r="P26" i="4"/>
  <c r="O26" i="4"/>
  <c r="I26" i="4"/>
  <c r="O28" i="4"/>
  <c r="I28" i="4"/>
  <c r="P28" i="4"/>
  <c r="J20" i="4"/>
  <c r="J31" i="4" s="1"/>
  <c r="H31" i="4"/>
  <c r="K10" i="4"/>
  <c r="L10" i="4"/>
  <c r="O70" i="4"/>
  <c r="I70" i="4"/>
  <c r="P70" i="4"/>
  <c r="O29" i="4"/>
  <c r="I29" i="4"/>
  <c r="P29" i="4"/>
  <c r="K8" i="4"/>
  <c r="L8" i="4"/>
  <c r="I73" i="4"/>
  <c r="P73" i="4"/>
  <c r="O73" i="4"/>
  <c r="L12" i="4"/>
  <c r="K12" i="4"/>
  <c r="I23" i="4"/>
  <c r="O23" i="4"/>
  <c r="P23" i="4"/>
  <c r="L71" i="4"/>
  <c r="K71" i="4"/>
  <c r="O47" i="4" l="1"/>
  <c r="O48" i="4" s="1"/>
  <c r="Y74" i="4"/>
  <c r="Y75" i="4"/>
  <c r="T51" i="4"/>
  <c r="T54" i="4"/>
  <c r="W54" i="4" s="1"/>
  <c r="T35" i="4"/>
  <c r="W35" i="4" s="1"/>
  <c r="T38" i="4"/>
  <c r="W38" i="4" s="1"/>
  <c r="K31" i="2"/>
  <c r="L31" i="2"/>
  <c r="Z21" i="2" s="1"/>
  <c r="Z20" i="2"/>
  <c r="Z19" i="2"/>
  <c r="U21" i="4"/>
  <c r="U19" i="4"/>
  <c r="U28" i="4"/>
  <c r="U26" i="4"/>
  <c r="U22" i="4"/>
  <c r="U29" i="4"/>
  <c r="U24" i="4"/>
  <c r="U23" i="4"/>
  <c r="U27" i="4"/>
  <c r="U25" i="4"/>
  <c r="K72" i="4"/>
  <c r="L53" i="4"/>
  <c r="K53" i="4"/>
  <c r="K45" i="4"/>
  <c r="K4" i="4"/>
  <c r="W56" i="4"/>
  <c r="W57" i="4"/>
  <c r="L57" i="4"/>
  <c r="K57" i="4"/>
  <c r="K74" i="4"/>
  <c r="U20" i="4"/>
  <c r="K41" i="4"/>
  <c r="L41" i="4"/>
  <c r="K35" i="4"/>
  <c r="L35" i="4"/>
  <c r="K43" i="4"/>
  <c r="L43" i="4"/>
  <c r="L77" i="4"/>
  <c r="K77" i="4"/>
  <c r="P79" i="4"/>
  <c r="O80" i="4" s="1"/>
  <c r="K76" i="4"/>
  <c r="O79" i="4"/>
  <c r="AI58" i="4"/>
  <c r="AI57" i="4"/>
  <c r="AI56" i="4"/>
  <c r="AI55" i="4"/>
  <c r="AI54" i="4"/>
  <c r="AI53" i="4"/>
  <c r="AI52" i="4"/>
  <c r="AI51" i="4"/>
  <c r="AI61" i="4"/>
  <c r="AI60" i="4"/>
  <c r="AI59" i="4"/>
  <c r="W59" i="4"/>
  <c r="V59" i="4"/>
  <c r="W55" i="4"/>
  <c r="V55" i="4"/>
  <c r="V58" i="4"/>
  <c r="W53" i="4"/>
  <c r="V53" i="4"/>
  <c r="V60" i="4"/>
  <c r="W60" i="4"/>
  <c r="W61" i="4"/>
  <c r="V61" i="4"/>
  <c r="V41" i="4"/>
  <c r="V45" i="4"/>
  <c r="W45" i="4"/>
  <c r="V43" i="4"/>
  <c r="W43" i="4"/>
  <c r="V37" i="4"/>
  <c r="W37" i="4"/>
  <c r="V40" i="4"/>
  <c r="W40" i="4"/>
  <c r="W42" i="4"/>
  <c r="V42" i="4"/>
  <c r="W39" i="4"/>
  <c r="V39" i="4"/>
  <c r="W44" i="4"/>
  <c r="V44" i="4"/>
  <c r="K19" i="4"/>
  <c r="S20" i="4"/>
  <c r="T20" i="4" s="1"/>
  <c r="V20" i="4" s="1"/>
  <c r="S63" i="4"/>
  <c r="S47" i="4"/>
  <c r="S79" i="4"/>
  <c r="U47" i="4"/>
  <c r="L13" i="4"/>
  <c r="P15" i="4"/>
  <c r="O15" i="4"/>
  <c r="L5" i="4"/>
  <c r="K5" i="4"/>
  <c r="K6" i="4"/>
  <c r="L6" i="4"/>
  <c r="L7" i="4"/>
  <c r="K7" i="4"/>
  <c r="K11" i="4"/>
  <c r="L11" i="4"/>
  <c r="L29" i="4"/>
  <c r="K29" i="4"/>
  <c r="L24" i="4"/>
  <c r="K24" i="4"/>
  <c r="L26" i="4"/>
  <c r="K26" i="4"/>
  <c r="O31" i="4"/>
  <c r="K25" i="4"/>
  <c r="L25" i="4"/>
  <c r="L73" i="4"/>
  <c r="K73" i="4"/>
  <c r="L70" i="4"/>
  <c r="K70" i="4"/>
  <c r="P31" i="4"/>
  <c r="P63" i="4"/>
  <c r="L20" i="4"/>
  <c r="K20" i="4"/>
  <c r="O63" i="4"/>
  <c r="U63" i="4"/>
  <c r="L28" i="4"/>
  <c r="K28" i="4"/>
  <c r="K23" i="4"/>
  <c r="L23" i="4"/>
  <c r="L22" i="4"/>
  <c r="K22" i="4"/>
  <c r="U79" i="4"/>
  <c r="T72" i="4"/>
  <c r="T76" i="4"/>
  <c r="T68" i="4"/>
  <c r="S31" i="4"/>
  <c r="S28" i="4"/>
  <c r="T28" i="4" s="1"/>
  <c r="S23" i="4"/>
  <c r="T23" i="4" s="1"/>
  <c r="T74" i="4"/>
  <c r="T75" i="4"/>
  <c r="T77" i="4"/>
  <c r="T70" i="4"/>
  <c r="S26" i="4"/>
  <c r="T26" i="4" s="1"/>
  <c r="S19" i="4"/>
  <c r="T19" i="4" s="1"/>
  <c r="S24" i="4"/>
  <c r="T24" i="4" s="1"/>
  <c r="S27" i="4"/>
  <c r="T27" i="4" s="1"/>
  <c r="T71" i="4"/>
  <c r="T67" i="4"/>
  <c r="S22" i="4"/>
  <c r="T22" i="4" s="1"/>
  <c r="T73" i="4"/>
  <c r="S29" i="4"/>
  <c r="T29" i="4" s="1"/>
  <c r="S21" i="4"/>
  <c r="T21" i="4" s="1"/>
  <c r="S25" i="4"/>
  <c r="T25" i="4" s="1"/>
  <c r="T69" i="4"/>
  <c r="K47" i="4" l="1"/>
  <c r="V54" i="4"/>
  <c r="V51" i="4"/>
  <c r="W51" i="4"/>
  <c r="V38" i="4"/>
  <c r="V35" i="4"/>
  <c r="L47" i="4"/>
  <c r="K79" i="4"/>
  <c r="U31" i="4"/>
  <c r="O16" i="4"/>
  <c r="Y6" i="4" s="1"/>
  <c r="Y3" i="4"/>
  <c r="L15" i="4"/>
  <c r="Y5" i="4" s="1"/>
  <c r="K15" i="4"/>
  <c r="Y4" i="4"/>
  <c r="W68" i="4"/>
  <c r="V68" i="4"/>
  <c r="T79" i="4"/>
  <c r="W19" i="4"/>
  <c r="V19" i="4"/>
  <c r="W28" i="4"/>
  <c r="V28" i="4"/>
  <c r="W76" i="4"/>
  <c r="V76" i="4"/>
  <c r="W72" i="4"/>
  <c r="V72" i="4"/>
  <c r="L63" i="4"/>
  <c r="T63" i="4"/>
  <c r="K63" i="4"/>
  <c r="W67" i="4"/>
  <c r="V67" i="4"/>
  <c r="W21" i="4"/>
  <c r="V21" i="4"/>
  <c r="K31" i="4"/>
  <c r="W25" i="4"/>
  <c r="V25" i="4"/>
  <c r="L31" i="4"/>
  <c r="W23" i="4"/>
  <c r="V23" i="4"/>
  <c r="V26" i="4"/>
  <c r="W26" i="4"/>
  <c r="W29" i="4"/>
  <c r="V29" i="4"/>
  <c r="W70" i="4"/>
  <c r="V70" i="4"/>
  <c r="O64" i="4"/>
  <c r="W71" i="4"/>
  <c r="V71" i="4"/>
  <c r="W73" i="4"/>
  <c r="V73" i="4"/>
  <c r="W77" i="4"/>
  <c r="V77" i="4"/>
  <c r="O32" i="4"/>
  <c r="W24" i="4"/>
  <c r="V24" i="4"/>
  <c r="T47" i="4"/>
  <c r="W27" i="4"/>
  <c r="V27" i="4"/>
  <c r="W75" i="4"/>
  <c r="V75" i="4"/>
  <c r="T31" i="4"/>
  <c r="W69" i="4"/>
  <c r="V69" i="4"/>
  <c r="V22" i="4"/>
  <c r="W22" i="4"/>
  <c r="V74" i="4"/>
  <c r="W74" i="4"/>
  <c r="L79" i="4"/>
  <c r="AJ93" i="2"/>
  <c r="AJ92" i="2"/>
  <c r="AJ91" i="2"/>
  <c r="AJ90" i="2"/>
  <c r="AJ89" i="2"/>
  <c r="AJ88" i="2"/>
  <c r="AJ87" i="2"/>
  <c r="AJ86" i="2"/>
  <c r="AJ85" i="2"/>
  <c r="AJ84" i="2"/>
  <c r="AJ83" i="2"/>
  <c r="Y68" i="4" l="1"/>
  <c r="Y67" i="4"/>
  <c r="V31" i="4"/>
  <c r="W31" i="4"/>
  <c r="V47" i="4"/>
  <c r="W47" i="4"/>
  <c r="V79" i="4"/>
  <c r="V63" i="4"/>
  <c r="W63" i="4"/>
  <c r="W79" i="4"/>
  <c r="Y69" i="4" s="1"/>
  <c r="Y13" i="3" l="1"/>
  <c r="X13" i="3"/>
  <c r="W13" i="3"/>
  <c r="V13" i="3"/>
  <c r="U13" i="3"/>
  <c r="T13" i="3"/>
  <c r="S13" i="3"/>
  <c r="R13" i="3"/>
  <c r="Q13" i="3"/>
  <c r="P13" i="3"/>
  <c r="Y12" i="3"/>
  <c r="X12" i="3"/>
  <c r="W12" i="3"/>
  <c r="V12" i="3"/>
  <c r="U12" i="3"/>
  <c r="T12" i="3"/>
  <c r="S12" i="3"/>
  <c r="R12" i="3"/>
  <c r="Q12" i="3"/>
  <c r="P12" i="3"/>
  <c r="Y11" i="3"/>
  <c r="X11" i="3"/>
  <c r="W11" i="3"/>
  <c r="V11" i="3"/>
  <c r="U11" i="3"/>
  <c r="T11" i="3"/>
  <c r="S11" i="3"/>
  <c r="R11" i="3"/>
  <c r="Q11" i="3"/>
  <c r="P11" i="3"/>
  <c r="Y10" i="3"/>
  <c r="X10" i="3"/>
  <c r="W10" i="3"/>
  <c r="V10" i="3"/>
  <c r="U10" i="3"/>
  <c r="T10" i="3"/>
  <c r="S10" i="3"/>
  <c r="R10" i="3"/>
  <c r="Q10" i="3"/>
  <c r="P10" i="3"/>
  <c r="Y9" i="3"/>
  <c r="X9" i="3"/>
  <c r="W9" i="3"/>
  <c r="V9" i="3"/>
  <c r="U9" i="3"/>
  <c r="T9" i="3"/>
  <c r="S9" i="3"/>
  <c r="R9" i="3"/>
  <c r="Q9" i="3"/>
  <c r="P9" i="3"/>
  <c r="Y8" i="3"/>
  <c r="X8" i="3"/>
  <c r="W8" i="3"/>
  <c r="V8" i="3"/>
  <c r="U8" i="3"/>
  <c r="T8" i="3"/>
  <c r="S8" i="3"/>
  <c r="R8" i="3"/>
  <c r="Q8" i="3"/>
  <c r="P8" i="3"/>
  <c r="Y7" i="3"/>
  <c r="X7" i="3"/>
  <c r="W7" i="3"/>
  <c r="V7" i="3"/>
  <c r="U7" i="3"/>
  <c r="T7" i="3"/>
  <c r="S7" i="3"/>
  <c r="R7" i="3"/>
  <c r="Q7" i="3"/>
  <c r="P7" i="3"/>
  <c r="Y6" i="3"/>
  <c r="X6" i="3"/>
  <c r="W6" i="3"/>
  <c r="V6" i="3"/>
  <c r="U6" i="3"/>
  <c r="T6" i="3"/>
  <c r="S6" i="3"/>
  <c r="R6" i="3"/>
  <c r="Q6" i="3"/>
  <c r="P6" i="3"/>
  <c r="Y5" i="3"/>
  <c r="X5" i="3"/>
  <c r="W5" i="3"/>
  <c r="V5" i="3"/>
  <c r="U5" i="3"/>
  <c r="T5" i="3"/>
  <c r="S5" i="3"/>
  <c r="R5" i="3"/>
  <c r="Q5" i="3"/>
  <c r="P5" i="3"/>
  <c r="Y4" i="3"/>
  <c r="X4" i="3"/>
  <c r="W4" i="3"/>
  <c r="V4" i="3"/>
  <c r="U4" i="3"/>
  <c r="T4" i="3"/>
  <c r="S4" i="3"/>
  <c r="R4" i="3"/>
  <c r="Q4" i="3"/>
  <c r="P4" i="3"/>
  <c r="Y3" i="3"/>
  <c r="X3" i="3"/>
  <c r="W3" i="3"/>
  <c r="V3" i="3"/>
  <c r="U3" i="3"/>
  <c r="T3" i="3"/>
  <c r="S3" i="3"/>
  <c r="R3" i="3"/>
  <c r="Q3" i="3"/>
  <c r="P3" i="3"/>
  <c r="O13" i="3"/>
  <c r="O12" i="3"/>
  <c r="O11" i="3"/>
  <c r="O10" i="3"/>
  <c r="O9" i="3"/>
  <c r="O8" i="3"/>
  <c r="O7" i="3"/>
  <c r="O6" i="3"/>
  <c r="O5" i="3"/>
  <c r="O4" i="3"/>
  <c r="O3" i="3"/>
  <c r="I80" i="4" l="1" a="1"/>
  <c r="I80" i="4" s="1"/>
  <c r="I32" i="4" a="1"/>
  <c r="I32" i="4" s="1"/>
  <c r="I16" i="4" a="1"/>
  <c r="I16" i="4" s="1"/>
  <c r="Y7" i="4" s="1"/>
  <c r="I48" i="4" a="1"/>
  <c r="I48" i="4" s="1"/>
  <c r="I64" i="4" a="1"/>
  <c r="I64" i="4" s="1"/>
  <c r="T80" i="4" a="1"/>
  <c r="T80" i="4" s="1"/>
  <c r="Y71" i="4" s="1"/>
  <c r="T48" i="4" a="1"/>
  <c r="T48" i="4" s="1"/>
  <c r="T64" i="4" a="1"/>
  <c r="T64" i="4" s="1"/>
  <c r="T32" i="4" a="1"/>
  <c r="T32" i="4" s="1"/>
  <c r="G95" i="2"/>
  <c r="E95" i="2"/>
  <c r="R90" i="2"/>
  <c r="R89" i="2"/>
  <c r="R86" i="2"/>
  <c r="R87" i="2"/>
  <c r="R88" i="2"/>
  <c r="R93" i="2"/>
  <c r="R85" i="2"/>
  <c r="R92" i="2"/>
  <c r="R83" i="2"/>
  <c r="R91" i="2"/>
  <c r="R84" i="2"/>
  <c r="G79" i="2"/>
  <c r="E79" i="2"/>
  <c r="R74" i="2"/>
  <c r="R73" i="2"/>
  <c r="R70" i="2"/>
  <c r="R71" i="2"/>
  <c r="R72" i="2"/>
  <c r="R77" i="2"/>
  <c r="R69" i="2"/>
  <c r="R76" i="2"/>
  <c r="R67" i="2"/>
  <c r="R75" i="2"/>
  <c r="R68" i="2"/>
  <c r="G63" i="2"/>
  <c r="E63" i="2"/>
  <c r="R58" i="2"/>
  <c r="R57" i="2"/>
  <c r="R54" i="2"/>
  <c r="R55" i="2"/>
  <c r="R56" i="2"/>
  <c r="R61" i="2"/>
  <c r="R53" i="2"/>
  <c r="R60" i="2"/>
  <c r="R51" i="2"/>
  <c r="R59" i="2"/>
  <c r="R52" i="2"/>
  <c r="R41" i="2"/>
  <c r="R40" i="2"/>
  <c r="R45" i="2"/>
  <c r="R44" i="2"/>
  <c r="R35" i="2"/>
  <c r="R43" i="2"/>
  <c r="G47" i="2"/>
  <c r="E47" i="2"/>
  <c r="G15" i="2"/>
  <c r="E15" i="2"/>
  <c r="I14" i="1"/>
  <c r="L11" i="1" s="1"/>
  <c r="N11" i="1" s="1"/>
  <c r="K14" i="1"/>
  <c r="H75" i="2" l="1"/>
  <c r="J75" i="2" s="1"/>
  <c r="H67" i="2"/>
  <c r="F70" i="2"/>
  <c r="H74" i="2"/>
  <c r="F77" i="2"/>
  <c r="F69" i="2"/>
  <c r="F67" i="2"/>
  <c r="O67" i="2" s="1"/>
  <c r="F74" i="2"/>
  <c r="H70" i="2"/>
  <c r="J70" i="2" s="1"/>
  <c r="H73" i="2"/>
  <c r="F76" i="2"/>
  <c r="F68" i="2"/>
  <c r="H72" i="2"/>
  <c r="F75" i="2"/>
  <c r="H71" i="2"/>
  <c r="J71" i="2" s="1"/>
  <c r="H77" i="2"/>
  <c r="H69" i="2"/>
  <c r="J69" i="2" s="1"/>
  <c r="F72" i="2"/>
  <c r="P72" i="2" s="1"/>
  <c r="H76" i="2"/>
  <c r="F71" i="2"/>
  <c r="F73" i="2"/>
  <c r="H68" i="2"/>
  <c r="F95" i="2"/>
  <c r="I95" i="2" s="1"/>
  <c r="H89" i="2"/>
  <c r="J89" i="2" s="1"/>
  <c r="F92" i="2"/>
  <c r="P92" i="2" s="1"/>
  <c r="F84" i="2"/>
  <c r="P84" i="2" s="1"/>
  <c r="H88" i="2"/>
  <c r="J88" i="2" s="1"/>
  <c r="F91" i="2"/>
  <c r="P91" i="2" s="1"/>
  <c r="F83" i="2"/>
  <c r="P83" i="2" s="1"/>
  <c r="F89" i="2"/>
  <c r="I89" i="2" s="1"/>
  <c r="F88" i="2"/>
  <c r="P88" i="2" s="1"/>
  <c r="H84" i="2"/>
  <c r="J84" i="2" s="1"/>
  <c r="H87" i="2"/>
  <c r="J87" i="2" s="1"/>
  <c r="F90" i="2"/>
  <c r="H86" i="2"/>
  <c r="H93" i="2"/>
  <c r="H85" i="2"/>
  <c r="J85" i="2" s="1"/>
  <c r="H91" i="2"/>
  <c r="J91" i="2" s="1"/>
  <c r="H83" i="2"/>
  <c r="J83" i="2" s="1"/>
  <c r="F86" i="2"/>
  <c r="H90" i="2"/>
  <c r="J90" i="2" s="1"/>
  <c r="F93" i="2"/>
  <c r="O93" i="2" s="1"/>
  <c r="F85" i="2"/>
  <c r="I85" i="2" s="1"/>
  <c r="K85" i="2" s="1"/>
  <c r="H92" i="2"/>
  <c r="J92" i="2" s="1"/>
  <c r="F87" i="2"/>
  <c r="P87" i="2" s="1"/>
  <c r="P93" i="2"/>
  <c r="J93" i="2"/>
  <c r="P86" i="2"/>
  <c r="H59" i="2"/>
  <c r="J59" i="2" s="1"/>
  <c r="H51" i="2"/>
  <c r="F54" i="2"/>
  <c r="F51" i="2"/>
  <c r="H58" i="2"/>
  <c r="J58" i="2" s="1"/>
  <c r="F61" i="2"/>
  <c r="F53" i="2"/>
  <c r="F59" i="2"/>
  <c r="P59" i="2" s="1"/>
  <c r="H52" i="2"/>
  <c r="J52" i="2" s="1"/>
  <c r="H57" i="2"/>
  <c r="F60" i="2"/>
  <c r="F52" i="2"/>
  <c r="H56" i="2"/>
  <c r="J56" i="2" s="1"/>
  <c r="H54" i="2"/>
  <c r="J54" i="2" s="1"/>
  <c r="F57" i="2"/>
  <c r="I57" i="2" s="1"/>
  <c r="L57" i="2" s="1"/>
  <c r="H61" i="2"/>
  <c r="J61" i="2" s="1"/>
  <c r="H53" i="2"/>
  <c r="J53" i="2" s="1"/>
  <c r="F55" i="2"/>
  <c r="H55" i="2"/>
  <c r="F58" i="2"/>
  <c r="P58" i="2" s="1"/>
  <c r="F56" i="2"/>
  <c r="P56" i="2" s="1"/>
  <c r="H60" i="2"/>
  <c r="H6" i="2"/>
  <c r="J6" i="2" s="1"/>
  <c r="I31" i="2"/>
  <c r="F8" i="2"/>
  <c r="H9" i="2"/>
  <c r="H8" i="2"/>
  <c r="H38" i="2"/>
  <c r="F41" i="2"/>
  <c r="F36" i="2"/>
  <c r="H45" i="2"/>
  <c r="J45" i="2" s="1"/>
  <c r="H37" i="2"/>
  <c r="J37" i="2" s="1"/>
  <c r="F40" i="2"/>
  <c r="I40" i="2" s="1"/>
  <c r="K40" i="2" s="1"/>
  <c r="F45" i="2"/>
  <c r="P45" i="2" s="1"/>
  <c r="H41" i="2"/>
  <c r="J41" i="2" s="1"/>
  <c r="H44" i="2"/>
  <c r="J44" i="2" s="1"/>
  <c r="H36" i="2"/>
  <c r="F39" i="2"/>
  <c r="P39" i="2" s="1"/>
  <c r="H42" i="2"/>
  <c r="J42" i="2" s="1"/>
  <c r="F44" i="2"/>
  <c r="I44" i="2" s="1"/>
  <c r="K44" i="2" s="1"/>
  <c r="H43" i="2"/>
  <c r="J43" i="2" s="1"/>
  <c r="H35" i="2"/>
  <c r="J35" i="2" s="1"/>
  <c r="F38" i="2"/>
  <c r="P38" i="2" s="1"/>
  <c r="F37" i="2"/>
  <c r="F42" i="2"/>
  <c r="H40" i="2"/>
  <c r="F43" i="2"/>
  <c r="P43" i="2" s="1"/>
  <c r="F35" i="2"/>
  <c r="P35" i="2" s="1"/>
  <c r="H39" i="2"/>
  <c r="J39" i="2" s="1"/>
  <c r="R37" i="2"/>
  <c r="R39" i="2"/>
  <c r="H10" i="2"/>
  <c r="J10" i="2" s="1"/>
  <c r="F7" i="2"/>
  <c r="R36" i="2"/>
  <c r="I90" i="2"/>
  <c r="K90" i="2" s="1"/>
  <c r="F9" i="2"/>
  <c r="P9" i="2" s="1"/>
  <c r="F10" i="2"/>
  <c r="J86" i="2"/>
  <c r="H7" i="2"/>
  <c r="J7" i="2" s="1"/>
  <c r="F11" i="2"/>
  <c r="I11" i="2" s="1"/>
  <c r="L11" i="2" s="1"/>
  <c r="H11" i="2"/>
  <c r="J11" i="2" s="1"/>
  <c r="F12" i="2"/>
  <c r="I12" i="2" s="1"/>
  <c r="K12" i="2" s="1"/>
  <c r="F13" i="2"/>
  <c r="P13" i="2" s="1"/>
  <c r="H3" i="2"/>
  <c r="J3" i="2" s="1"/>
  <c r="F4" i="2"/>
  <c r="H4" i="2"/>
  <c r="J4" i="2" s="1"/>
  <c r="H12" i="2"/>
  <c r="J12" i="2" s="1"/>
  <c r="H13" i="2"/>
  <c r="J13" i="2" s="1"/>
  <c r="F15" i="2"/>
  <c r="F3" i="2"/>
  <c r="P3" i="2" s="1"/>
  <c r="F5" i="2"/>
  <c r="H5" i="2"/>
  <c r="J5" i="2" s="1"/>
  <c r="F6" i="2"/>
  <c r="P89" i="2"/>
  <c r="O89" i="2"/>
  <c r="I93" i="2"/>
  <c r="L93" i="2" s="1"/>
  <c r="L85" i="2"/>
  <c r="L89" i="2"/>
  <c r="K89" i="2"/>
  <c r="I84" i="2"/>
  <c r="I91" i="2"/>
  <c r="I87" i="2"/>
  <c r="O84" i="2"/>
  <c r="I83" i="2"/>
  <c r="I86" i="2"/>
  <c r="O91" i="2"/>
  <c r="O87" i="2"/>
  <c r="R95" i="2"/>
  <c r="O83" i="2"/>
  <c r="O86" i="2"/>
  <c r="J72" i="2"/>
  <c r="J67" i="2"/>
  <c r="J73" i="2"/>
  <c r="J68" i="2"/>
  <c r="J76" i="2"/>
  <c r="J77" i="2"/>
  <c r="O71" i="2"/>
  <c r="J74" i="2"/>
  <c r="F79" i="2"/>
  <c r="I79" i="2" s="1"/>
  <c r="P68" i="2"/>
  <c r="P75" i="2"/>
  <c r="P69" i="2"/>
  <c r="I72" i="2"/>
  <c r="O72" i="2"/>
  <c r="R79" i="2"/>
  <c r="U67" i="2" s="1"/>
  <c r="J57" i="2"/>
  <c r="P51" i="2"/>
  <c r="J51" i="2"/>
  <c r="I61" i="2"/>
  <c r="L61" i="2" s="1"/>
  <c r="P37" i="2"/>
  <c r="J40" i="2"/>
  <c r="R63" i="2"/>
  <c r="S56" i="2" s="1"/>
  <c r="J60" i="2"/>
  <c r="J55" i="2"/>
  <c r="F63" i="2"/>
  <c r="J38" i="2"/>
  <c r="I41" i="2"/>
  <c r="L41" i="2" s="1"/>
  <c r="F47" i="2"/>
  <c r="I47" i="2" s="1"/>
  <c r="J36" i="2"/>
  <c r="P6" i="2"/>
  <c r="J9" i="2"/>
  <c r="J8" i="2"/>
  <c r="L10" i="1"/>
  <c r="N10" i="1" s="1"/>
  <c r="L12" i="1"/>
  <c r="N12" i="1" s="1"/>
  <c r="J8" i="1"/>
  <c r="J9" i="1"/>
  <c r="J10" i="1"/>
  <c r="J11" i="1"/>
  <c r="J14" i="1"/>
  <c r="L3" i="1"/>
  <c r="N3" i="1" s="1"/>
  <c r="L4" i="1"/>
  <c r="N4" i="1" s="1"/>
  <c r="J3" i="1"/>
  <c r="L5" i="1"/>
  <c r="N5" i="1" s="1"/>
  <c r="J4" i="1"/>
  <c r="L6" i="1"/>
  <c r="N6" i="1" s="1"/>
  <c r="J12" i="1"/>
  <c r="J5" i="1"/>
  <c r="L7" i="1"/>
  <c r="N7" i="1" s="1"/>
  <c r="J6" i="1"/>
  <c r="L8" i="1"/>
  <c r="N8" i="1" s="1"/>
  <c r="J7" i="1"/>
  <c r="L9" i="1"/>
  <c r="N9" i="1" s="1"/>
  <c r="P85" i="2" l="1"/>
  <c r="O85" i="2"/>
  <c r="O88" i="2"/>
  <c r="O92" i="2"/>
  <c r="I92" i="2"/>
  <c r="I88" i="2"/>
  <c r="I96" i="2" s="1" a="1"/>
  <c r="I96" i="2" s="1"/>
  <c r="U92" i="2"/>
  <c r="U90" i="2"/>
  <c r="S93" i="2"/>
  <c r="S85" i="2"/>
  <c r="U89" i="2"/>
  <c r="S92" i="2"/>
  <c r="S84" i="2"/>
  <c r="U88" i="2"/>
  <c r="S91" i="2"/>
  <c r="U87" i="2"/>
  <c r="S90" i="2"/>
  <c r="U86" i="2"/>
  <c r="S89" i="2"/>
  <c r="U93" i="2"/>
  <c r="U85" i="2"/>
  <c r="S88" i="2"/>
  <c r="U84" i="2"/>
  <c r="S87" i="2"/>
  <c r="U91" i="2"/>
  <c r="S86" i="2"/>
  <c r="S83" i="2"/>
  <c r="U83" i="2"/>
  <c r="U77" i="2"/>
  <c r="U69" i="2"/>
  <c r="S72" i="2"/>
  <c r="U76" i="2"/>
  <c r="U68" i="2"/>
  <c r="S71" i="2"/>
  <c r="U75" i="2"/>
  <c r="S70" i="2"/>
  <c r="U74" i="2"/>
  <c r="S77" i="2"/>
  <c r="S69" i="2"/>
  <c r="U72" i="2"/>
  <c r="S75" i="2"/>
  <c r="T75" i="2" s="1"/>
  <c r="U71" i="2"/>
  <c r="S74" i="2"/>
  <c r="U70" i="2"/>
  <c r="S73" i="2"/>
  <c r="U73" i="2"/>
  <c r="S76" i="2"/>
  <c r="S68" i="2"/>
  <c r="S67" i="2"/>
  <c r="I68" i="2"/>
  <c r="O75" i="2"/>
  <c r="S58" i="2"/>
  <c r="S54" i="2"/>
  <c r="U58" i="2"/>
  <c r="U54" i="2"/>
  <c r="S51" i="2"/>
  <c r="S52" i="2"/>
  <c r="S53" i="2"/>
  <c r="U51" i="2"/>
  <c r="U52" i="2"/>
  <c r="U53" i="2"/>
  <c r="S60" i="2"/>
  <c r="U57" i="2"/>
  <c r="U55" i="2"/>
  <c r="U60" i="2"/>
  <c r="S57" i="2"/>
  <c r="S55" i="2"/>
  <c r="S61" i="2"/>
  <c r="S59" i="2"/>
  <c r="U56" i="2"/>
  <c r="U61" i="2"/>
  <c r="U59" i="2"/>
  <c r="P11" i="2"/>
  <c r="O11" i="2"/>
  <c r="R42" i="2"/>
  <c r="J79" i="2"/>
  <c r="P90" i="2"/>
  <c r="O90" i="2"/>
  <c r="J95" i="2"/>
  <c r="L90" i="2"/>
  <c r="K93" i="2"/>
  <c r="L87" i="2"/>
  <c r="K87" i="2"/>
  <c r="L91" i="2"/>
  <c r="K91" i="2"/>
  <c r="L88" i="2"/>
  <c r="K88" i="2"/>
  <c r="L84" i="2"/>
  <c r="K84" i="2"/>
  <c r="L86" i="2"/>
  <c r="K86" i="2"/>
  <c r="L83" i="2"/>
  <c r="K83" i="2"/>
  <c r="H95" i="2"/>
  <c r="I67" i="2"/>
  <c r="I75" i="2"/>
  <c r="L75" i="2" s="1"/>
  <c r="P67" i="2"/>
  <c r="I74" i="2"/>
  <c r="O74" i="2"/>
  <c r="P74" i="2"/>
  <c r="P71" i="2"/>
  <c r="I71" i="2"/>
  <c r="O76" i="2"/>
  <c r="P76" i="2"/>
  <c r="I76" i="2"/>
  <c r="H79" i="2"/>
  <c r="I73" i="2"/>
  <c r="P73" i="2"/>
  <c r="O73" i="2"/>
  <c r="I69" i="2"/>
  <c r="O69" i="2"/>
  <c r="O70" i="2"/>
  <c r="P70" i="2"/>
  <c r="I70" i="2"/>
  <c r="L70" i="2" s="1"/>
  <c r="O77" i="2"/>
  <c r="P77" i="2"/>
  <c r="I77" i="2"/>
  <c r="O68" i="2"/>
  <c r="L68" i="2"/>
  <c r="K68" i="2"/>
  <c r="K70" i="2"/>
  <c r="L72" i="2"/>
  <c r="K72" i="2"/>
  <c r="O56" i="2"/>
  <c r="O59" i="2"/>
  <c r="O51" i="2"/>
  <c r="I51" i="2"/>
  <c r="J63" i="2"/>
  <c r="I59" i="2"/>
  <c r="L59" i="2" s="1"/>
  <c r="I60" i="2"/>
  <c r="O60" i="2"/>
  <c r="P60" i="2"/>
  <c r="O61" i="2"/>
  <c r="K61" i="2"/>
  <c r="I58" i="2"/>
  <c r="L58" i="2" s="1"/>
  <c r="O57" i="2"/>
  <c r="K57" i="2"/>
  <c r="I56" i="2"/>
  <c r="L56" i="2" s="1"/>
  <c r="P57" i="2"/>
  <c r="O58" i="2"/>
  <c r="P61" i="2"/>
  <c r="I55" i="2"/>
  <c r="P55" i="2"/>
  <c r="O55" i="2"/>
  <c r="I53" i="2"/>
  <c r="P53" i="2"/>
  <c r="O53" i="2"/>
  <c r="P52" i="2"/>
  <c r="I52" i="2"/>
  <c r="O52" i="2"/>
  <c r="I63" i="2"/>
  <c r="P54" i="2"/>
  <c r="O54" i="2"/>
  <c r="I54" i="2"/>
  <c r="H63" i="2"/>
  <c r="K41" i="2"/>
  <c r="O41" i="2"/>
  <c r="P41" i="2"/>
  <c r="M4" i="1"/>
  <c r="T4" i="1"/>
  <c r="S4" i="1"/>
  <c r="M12" i="1"/>
  <c r="S12" i="1"/>
  <c r="T12" i="1"/>
  <c r="M3" i="1"/>
  <c r="T3" i="1"/>
  <c r="S3" i="1"/>
  <c r="M7" i="1"/>
  <c r="T7" i="1"/>
  <c r="S7" i="1"/>
  <c r="M11" i="1"/>
  <c r="T11" i="1"/>
  <c r="S11" i="1"/>
  <c r="M6" i="1"/>
  <c r="T6" i="1"/>
  <c r="S6" i="1"/>
  <c r="M10" i="1"/>
  <c r="S10" i="1"/>
  <c r="T10" i="1"/>
  <c r="M9" i="1"/>
  <c r="T9" i="1"/>
  <c r="S9" i="1"/>
  <c r="M5" i="1"/>
  <c r="T5" i="1"/>
  <c r="S5" i="1"/>
  <c r="M8" i="1"/>
  <c r="S8" i="1"/>
  <c r="T8" i="1"/>
  <c r="O9" i="2"/>
  <c r="L12" i="2"/>
  <c r="L44" i="2"/>
  <c r="O40" i="2"/>
  <c r="I45" i="2"/>
  <c r="K45" i="2" s="1"/>
  <c r="L40" i="2"/>
  <c r="I9" i="2"/>
  <c r="L9" i="2" s="1"/>
  <c r="I35" i="2"/>
  <c r="O6" i="2"/>
  <c r="O39" i="2"/>
  <c r="P40" i="2"/>
  <c r="O45" i="2"/>
  <c r="I6" i="2"/>
  <c r="K6" i="2" s="1"/>
  <c r="I39" i="2"/>
  <c r="K39" i="2" s="1"/>
  <c r="O35" i="2"/>
  <c r="J47" i="2"/>
  <c r="O43" i="2"/>
  <c r="O38" i="2"/>
  <c r="I37" i="2"/>
  <c r="K37" i="2" s="1"/>
  <c r="O44" i="2"/>
  <c r="I43" i="2"/>
  <c r="L43" i="2" s="1"/>
  <c r="P44" i="2"/>
  <c r="H47" i="2"/>
  <c r="I42" i="2"/>
  <c r="P42" i="2"/>
  <c r="O42" i="2"/>
  <c r="O37" i="2"/>
  <c r="I36" i="2"/>
  <c r="P36" i="2"/>
  <c r="O36" i="2"/>
  <c r="I38" i="2"/>
  <c r="K38" i="2" s="1"/>
  <c r="L35" i="2"/>
  <c r="I13" i="2"/>
  <c r="L13" i="2" s="1"/>
  <c r="O3" i="2"/>
  <c r="I3" i="2"/>
  <c r="K11" i="2"/>
  <c r="O13" i="2"/>
  <c r="J15" i="2"/>
  <c r="I15" i="2" s="1"/>
  <c r="P7" i="2"/>
  <c r="I7" i="2"/>
  <c r="O7" i="2"/>
  <c r="I8" i="2"/>
  <c r="O8" i="2"/>
  <c r="P8" i="2"/>
  <c r="I5" i="2"/>
  <c r="O5" i="2"/>
  <c r="P5" i="2"/>
  <c r="H15" i="2"/>
  <c r="P10" i="2"/>
  <c r="O10" i="2"/>
  <c r="I10" i="2"/>
  <c r="P4" i="2"/>
  <c r="O4" i="2"/>
  <c r="I4" i="2"/>
  <c r="N14" i="1"/>
  <c r="M14" i="1" s="1"/>
  <c r="L14" i="1"/>
  <c r="Z75" i="2" l="1"/>
  <c r="O95" i="2"/>
  <c r="P95" i="2"/>
  <c r="Z59" i="2"/>
  <c r="Z60" i="2"/>
  <c r="L92" i="2"/>
  <c r="K92" i="2"/>
  <c r="K95" i="2" s="1"/>
  <c r="Z76" i="2"/>
  <c r="L67" i="2"/>
  <c r="I80" i="2" a="1"/>
  <c r="I80" i="2" s="1"/>
  <c r="Z91" i="2"/>
  <c r="Z92" i="2"/>
  <c r="X88" i="2"/>
  <c r="Y88" i="2"/>
  <c r="Y84" i="2"/>
  <c r="X84" i="2"/>
  <c r="Y83" i="2"/>
  <c r="X83" i="2"/>
  <c r="X89" i="2"/>
  <c r="Y89" i="2"/>
  <c r="Y92" i="2"/>
  <c r="X92" i="2"/>
  <c r="X86" i="2"/>
  <c r="Y86" i="2"/>
  <c r="Y85" i="2"/>
  <c r="X85" i="2"/>
  <c r="Y90" i="2"/>
  <c r="X90" i="2"/>
  <c r="Y93" i="2"/>
  <c r="X93" i="2"/>
  <c r="X87" i="2"/>
  <c r="Y87" i="2"/>
  <c r="Y91" i="2"/>
  <c r="X91" i="2"/>
  <c r="L51" i="2"/>
  <c r="I64" i="2" a="1"/>
  <c r="I64" i="2" s="1"/>
  <c r="K35" i="2"/>
  <c r="I48" i="2" a="1"/>
  <c r="I48" i="2" s="1"/>
  <c r="R38" i="2"/>
  <c r="Z40" i="2"/>
  <c r="Z41" i="2"/>
  <c r="L3" i="2"/>
  <c r="I16" i="2" a="1"/>
  <c r="I16" i="2" s="1"/>
  <c r="Z7" i="2" s="1"/>
  <c r="L95" i="2"/>
  <c r="U95" i="2"/>
  <c r="K59" i="2"/>
  <c r="O79" i="2"/>
  <c r="K75" i="2"/>
  <c r="K67" i="2"/>
  <c r="P79" i="2"/>
  <c r="K73" i="2"/>
  <c r="L73" i="2"/>
  <c r="L77" i="2"/>
  <c r="K77" i="2"/>
  <c r="K76" i="2"/>
  <c r="L76" i="2"/>
  <c r="K74" i="2"/>
  <c r="L74" i="2"/>
  <c r="L71" i="2"/>
  <c r="K71" i="2"/>
  <c r="L69" i="2"/>
  <c r="K69" i="2"/>
  <c r="U79" i="2"/>
  <c r="K58" i="2"/>
  <c r="K51" i="2"/>
  <c r="O63" i="2"/>
  <c r="K56" i="2"/>
  <c r="K55" i="2"/>
  <c r="L55" i="2"/>
  <c r="L60" i="2"/>
  <c r="K60" i="2"/>
  <c r="K52" i="2"/>
  <c r="L52" i="2"/>
  <c r="L53" i="2"/>
  <c r="K53" i="2"/>
  <c r="L54" i="2"/>
  <c r="K54" i="2"/>
  <c r="P63" i="2"/>
  <c r="U63" i="2"/>
  <c r="S14" i="1"/>
  <c r="P10" i="1"/>
  <c r="O10" i="1"/>
  <c r="O3" i="1"/>
  <c r="P3" i="1"/>
  <c r="P9" i="1"/>
  <c r="O9" i="1"/>
  <c r="P7" i="1"/>
  <c r="O7" i="1"/>
  <c r="P8" i="1"/>
  <c r="O8" i="1"/>
  <c r="O6" i="1"/>
  <c r="P6" i="1"/>
  <c r="P12" i="1"/>
  <c r="O12" i="1"/>
  <c r="T14" i="1"/>
  <c r="S15" i="1" s="1"/>
  <c r="O5" i="1"/>
  <c r="P5" i="1"/>
  <c r="O11" i="1"/>
  <c r="P11" i="1"/>
  <c r="O4" i="1"/>
  <c r="P4" i="1"/>
  <c r="L45" i="2"/>
  <c r="K9" i="2"/>
  <c r="L39" i="2"/>
  <c r="L6" i="2"/>
  <c r="K43" i="2"/>
  <c r="P47" i="2"/>
  <c r="O47" i="2"/>
  <c r="L37" i="2"/>
  <c r="L36" i="2"/>
  <c r="K36" i="2"/>
  <c r="L38" i="2"/>
  <c r="L42" i="2"/>
  <c r="K42" i="2"/>
  <c r="K13" i="2"/>
  <c r="K3" i="2"/>
  <c r="O15" i="2"/>
  <c r="L7" i="2"/>
  <c r="K7" i="2"/>
  <c r="L5" i="2"/>
  <c r="K5" i="2"/>
  <c r="L4" i="2"/>
  <c r="K4" i="2"/>
  <c r="K8" i="2"/>
  <c r="L8" i="2"/>
  <c r="K10" i="2"/>
  <c r="L10" i="2"/>
  <c r="P15" i="2"/>
  <c r="O96" i="2" l="1"/>
  <c r="Z86" i="2" s="1"/>
  <c r="X95" i="2"/>
  <c r="Y95" i="2"/>
  <c r="R47" i="2"/>
  <c r="S38" i="2"/>
  <c r="O80" i="2"/>
  <c r="Z70" i="2" s="1"/>
  <c r="Z3" i="2"/>
  <c r="Z4" i="2"/>
  <c r="O64" i="2"/>
  <c r="Z54" i="2" s="1"/>
  <c r="K79" i="2"/>
  <c r="L79" i="2"/>
  <c r="L63" i="2"/>
  <c r="K63" i="2"/>
  <c r="P14" i="1"/>
  <c r="O14" i="1"/>
  <c r="O48" i="2"/>
  <c r="Z38" i="2" s="1"/>
  <c r="K47" i="2"/>
  <c r="L47" i="2"/>
  <c r="O16" i="2"/>
  <c r="Z6" i="2" s="1"/>
  <c r="K15" i="2"/>
  <c r="L15" i="2"/>
  <c r="Z5" i="2" s="1"/>
  <c r="T38" i="2" l="1"/>
  <c r="V38" i="2" s="1"/>
  <c r="X96" i="2"/>
  <c r="U45" i="2"/>
  <c r="U37" i="2"/>
  <c r="U44" i="2"/>
  <c r="U36" i="2"/>
  <c r="U42" i="2"/>
  <c r="U43" i="2"/>
  <c r="U38" i="2"/>
  <c r="U41" i="2"/>
  <c r="U40" i="2"/>
  <c r="U39" i="2"/>
  <c r="U35" i="2"/>
  <c r="T86" i="2"/>
  <c r="T83" i="2"/>
  <c r="T76" i="2"/>
  <c r="T73" i="2"/>
  <c r="T70" i="2"/>
  <c r="T61" i="2"/>
  <c r="T93" i="2"/>
  <c r="T53" i="2"/>
  <c r="T91" i="2"/>
  <c r="S63" i="2"/>
  <c r="S39" i="2"/>
  <c r="T39" i="2" s="1"/>
  <c r="S47" i="2"/>
  <c r="T88" i="2"/>
  <c r="T87" i="2"/>
  <c r="T90" i="2"/>
  <c r="T51" i="2"/>
  <c r="T56" i="2"/>
  <c r="S40" i="2"/>
  <c r="T40" i="2" s="1"/>
  <c r="S42" i="2"/>
  <c r="T42" i="2" s="1"/>
  <c r="S35" i="2"/>
  <c r="T85" i="2"/>
  <c r="T72" i="2"/>
  <c r="T74" i="2"/>
  <c r="S79" i="2"/>
  <c r="T60" i="2"/>
  <c r="T52" i="2"/>
  <c r="T58" i="2"/>
  <c r="S45" i="2"/>
  <c r="T45" i="2" s="1"/>
  <c r="S41" i="2"/>
  <c r="T41" i="2" s="1"/>
  <c r="S95" i="2"/>
  <c r="T77" i="2"/>
  <c r="T54" i="2"/>
  <c r="S37" i="2"/>
  <c r="T37" i="2" s="1"/>
  <c r="S36" i="2"/>
  <c r="T36" i="2" s="1"/>
  <c r="V36" i="2" s="1"/>
  <c r="T92" i="2"/>
  <c r="T69" i="2"/>
  <c r="T71" i="2"/>
  <c r="S44" i="2"/>
  <c r="T44" i="2" s="1"/>
  <c r="T55" i="2"/>
  <c r="T84" i="2"/>
  <c r="T67" i="2"/>
  <c r="T89" i="2"/>
  <c r="T68" i="2"/>
  <c r="T59" i="2"/>
  <c r="T57" i="2"/>
  <c r="S43" i="2"/>
  <c r="T43" i="2" s="1"/>
  <c r="T64" i="2" l="1" a="1"/>
  <c r="T64" i="2" s="1"/>
  <c r="Z55" i="2" s="1"/>
  <c r="W38" i="2"/>
  <c r="T35" i="2"/>
  <c r="Z43" i="2"/>
  <c r="Z44" i="2"/>
  <c r="T80" i="2" a="1"/>
  <c r="T80" i="2" s="1"/>
  <c r="Z71" i="2" s="1"/>
  <c r="T96" i="2" a="1"/>
  <c r="T96" i="2" s="1"/>
  <c r="Z87" i="2" s="1"/>
  <c r="T48" i="2" a="1"/>
  <c r="T48" i="2" s="1"/>
  <c r="Z39" i="2" s="1"/>
  <c r="U47" i="2"/>
  <c r="W59" i="2"/>
  <c r="V59" i="2"/>
  <c r="V70" i="2"/>
  <c r="W70" i="2"/>
  <c r="W57" i="2"/>
  <c r="V57" i="2"/>
  <c r="V45" i="2"/>
  <c r="W45" i="2"/>
  <c r="V73" i="2"/>
  <c r="W73" i="2"/>
  <c r="V87" i="2"/>
  <c r="W87" i="2"/>
  <c r="W68" i="2"/>
  <c r="V68" i="2"/>
  <c r="T79" i="2"/>
  <c r="W39" i="2"/>
  <c r="V39" i="2"/>
  <c r="W76" i="2"/>
  <c r="V76" i="2"/>
  <c r="V61" i="2"/>
  <c r="W61" i="2"/>
  <c r="W92" i="2"/>
  <c r="V92" i="2"/>
  <c r="W67" i="2"/>
  <c r="V67" i="2"/>
  <c r="W83" i="2"/>
  <c r="V83" i="2"/>
  <c r="W72" i="2"/>
  <c r="V72" i="2"/>
  <c r="W85" i="2"/>
  <c r="V85" i="2"/>
  <c r="V58" i="2"/>
  <c r="W58" i="2"/>
  <c r="W89" i="2"/>
  <c r="V89" i="2"/>
  <c r="V42" i="2"/>
  <c r="W42" i="2"/>
  <c r="V60" i="2"/>
  <c r="W60" i="2"/>
  <c r="V54" i="2"/>
  <c r="W54" i="2"/>
  <c r="W56" i="2"/>
  <c r="V56" i="2"/>
  <c r="W91" i="2"/>
  <c r="V91" i="2"/>
  <c r="W86" i="2"/>
  <c r="V86" i="2"/>
  <c r="W41" i="2"/>
  <c r="V41" i="2"/>
  <c r="V88" i="2"/>
  <c r="W88" i="2"/>
  <c r="T47" i="2"/>
  <c r="W35" i="2"/>
  <c r="V35" i="2"/>
  <c r="W52" i="2"/>
  <c r="T63" i="2"/>
  <c r="V52" i="2"/>
  <c r="W37" i="2"/>
  <c r="V37" i="2"/>
  <c r="W84" i="2"/>
  <c r="V84" i="2"/>
  <c r="T95" i="2"/>
  <c r="V77" i="2"/>
  <c r="W77" i="2"/>
  <c r="V75" i="2"/>
  <c r="W75" i="2"/>
  <c r="V51" i="2"/>
  <c r="W51" i="2"/>
  <c r="V53" i="2"/>
  <c r="W53" i="2"/>
  <c r="W71" i="2"/>
  <c r="V71" i="2"/>
  <c r="V69" i="2"/>
  <c r="W69" i="2"/>
  <c r="W40" i="2"/>
  <c r="V40" i="2"/>
  <c r="V55" i="2"/>
  <c r="W55" i="2"/>
  <c r="W43" i="2"/>
  <c r="V43" i="2"/>
  <c r="W44" i="2"/>
  <c r="V44" i="2"/>
  <c r="V74" i="2"/>
  <c r="W74" i="2"/>
  <c r="V90" i="2"/>
  <c r="W90" i="2"/>
  <c r="V93" i="2"/>
  <c r="W93" i="2"/>
  <c r="V79" i="2" l="1"/>
  <c r="Z36" i="2"/>
  <c r="V47" i="2"/>
  <c r="W95" i="2"/>
  <c r="Z85" i="2" s="1"/>
  <c r="W47" i="2"/>
  <c r="Z37" i="2" s="1"/>
  <c r="Z35" i="2"/>
  <c r="W79" i="2"/>
  <c r="Z69" i="2" s="1"/>
  <c r="Z68" i="2"/>
  <c r="Z83" i="2"/>
  <c r="Z67" i="2"/>
  <c r="Z52" i="2"/>
  <c r="V63" i="2"/>
  <c r="Z84" i="2"/>
  <c r="V95" i="2"/>
  <c r="W63" i="2"/>
  <c r="Z53" i="2" s="1"/>
  <c r="Z51" i="2"/>
  <c r="I15" i="6"/>
</calcChain>
</file>

<file path=xl/sharedStrings.xml><?xml version="1.0" encoding="utf-8"?>
<sst xmlns="http://schemas.openxmlformats.org/spreadsheetml/2006/main" count="925" uniqueCount="176">
  <si>
    <t>Shotgun</t>
  </si>
  <si>
    <t>Most Out Of Tolerance</t>
  </si>
  <si>
    <t>Watertfall</t>
  </si>
  <si>
    <t>Tracking Error</t>
  </si>
  <si>
    <t>MSFT</t>
  </si>
  <si>
    <t>AMZN</t>
  </si>
  <si>
    <t>TSLA</t>
  </si>
  <si>
    <t>Vanguard Interm-Term Corp Bd ETF</t>
  </si>
  <si>
    <t>VCIT</t>
  </si>
  <si>
    <t>iShares MBS ETF</t>
  </si>
  <si>
    <t>MBB</t>
  </si>
  <si>
    <t>SPDR® Portfolio Intmdt Term Trs ETF</t>
  </si>
  <si>
    <t>SPTI</t>
  </si>
  <si>
    <t>JPM</t>
  </si>
  <si>
    <t>JPMorgan Chase &amp; Co</t>
  </si>
  <si>
    <t>Tesla</t>
  </si>
  <si>
    <t>Microsoft Corporation</t>
  </si>
  <si>
    <t>Amazon</t>
  </si>
  <si>
    <t>Walmart</t>
  </si>
  <si>
    <t>WMT</t>
  </si>
  <si>
    <t>CVS</t>
  </si>
  <si>
    <t>CVS Health Corporation</t>
  </si>
  <si>
    <t>Name</t>
  </si>
  <si>
    <t>Ticker</t>
  </si>
  <si>
    <t>Price</t>
  </si>
  <si>
    <t>XOM</t>
  </si>
  <si>
    <t>Exxon Mobile Corporation</t>
  </si>
  <si>
    <t>Target %</t>
  </si>
  <si>
    <t>Target $</t>
  </si>
  <si>
    <t>Current $</t>
  </si>
  <si>
    <t>Current %</t>
  </si>
  <si>
    <t>Offage %</t>
  </si>
  <si>
    <t>Offage $</t>
  </si>
  <si>
    <t>Full Rebalance</t>
  </si>
  <si>
    <t>Transaction Handling</t>
  </si>
  <si>
    <t>Rebalance Calculations</t>
  </si>
  <si>
    <t>Out of Balance</t>
  </si>
  <si>
    <t>Fractional yes or no?</t>
  </si>
  <si>
    <t>Do a size check before trying to trade</t>
  </si>
  <si>
    <t>1. Cash contribution</t>
  </si>
  <si>
    <t>Positive Offage %'s</t>
  </si>
  <si>
    <t>Negative Offage %'s</t>
  </si>
  <si>
    <t>Target Drift</t>
  </si>
  <si>
    <t>Target % Min</t>
  </si>
  <si>
    <t>Target % Max</t>
  </si>
  <si>
    <t>% Below Min</t>
  </si>
  <si>
    <t>% Above Max</t>
  </si>
  <si>
    <t>Tolerance Drift</t>
  </si>
  <si>
    <t>2. Out Of Tolerance Warning</t>
  </si>
  <si>
    <t>3. Periodic Rebalance</t>
  </si>
  <si>
    <t>I used to manage 3 sets of 5 mutual funds = 15 funds</t>
  </si>
  <si>
    <t>If each fund had 1,000 investors, that was 15,000 investors, but trading was easy</t>
  </si>
  <si>
    <t>All of the investor assets in each account are funneled together into consolidated accounts</t>
  </si>
  <si>
    <t>Advisors have a much harder time, as each account is kept as an individual account.</t>
  </si>
  <si>
    <t>Advisors often have 200 accounts to monitor.</t>
  </si>
  <si>
    <t>To effectively monitor that many accounts, an advisor needs an analyst/trader, needs a good software system, or can outsource the work to a trading partner or TAMP.</t>
  </si>
  <si>
    <t>When fixing an Out Of Tolerance situation, you don't want to trade just until you get the account one penny in tolerance, you want to go a bit further.  How much futher is typically a funciton of whether the account is taxable or non-taxable and whether trades are free or cost.</t>
  </si>
  <si>
    <t>Trading factors</t>
  </si>
  <si>
    <t xml:space="preserve">  Target Drift</t>
  </si>
  <si>
    <t xml:space="preserve">  Act is taxable or non-taxable</t>
  </si>
  <si>
    <t xml:space="preserve">  Transaction fees or free</t>
  </si>
  <si>
    <t xml:space="preserve">  Risky investment / asset classes? (tracking error)</t>
  </si>
  <si>
    <t>Not going to talk about how to build a portfolio or how to set min / max levels</t>
  </si>
  <si>
    <t>Will talk about baskc and moderate level concepts, but we don't have time to go into things like block trading, creates / redeems, detailed tax considerations, householding math</t>
  </si>
  <si>
    <t>After Trade %</t>
  </si>
  <si>
    <t>Cash</t>
  </si>
  <si>
    <t>After Trade Offage %</t>
  </si>
  <si>
    <t>After Trade Offage $</t>
  </si>
  <si>
    <t>Vanguard Interm Corp Bd ETF</t>
  </si>
  <si>
    <t>SPDR® Port Interm Treas ETF</t>
  </si>
  <si>
    <t>Microsoft Corp</t>
  </si>
  <si>
    <t>Amazon.com Inc</t>
  </si>
  <si>
    <t>Tesla Inc</t>
  </si>
  <si>
    <t>Walmart Inc</t>
  </si>
  <si>
    <t>CVS Health Corp</t>
  </si>
  <si>
    <t>Exxon Mobil Corp</t>
  </si>
  <si>
    <t>ICE BofA US 3M Trsy Bill TR USD</t>
  </si>
  <si>
    <t>Std Deviation</t>
  </si>
  <si>
    <t>Max trade</t>
  </si>
  <si>
    <t>reduce the Target Drift</t>
  </si>
  <si>
    <t>reduce the Tracking Error</t>
  </si>
  <si>
    <t>minimize taxes in table accounts</t>
  </si>
  <si>
    <t>keep the trade count down</t>
  </si>
  <si>
    <t>keep the total $ traded down</t>
  </si>
  <si>
    <t>Trade goals -  (both flow and rebalancing)</t>
  </si>
  <si>
    <t>You don't want to blow through an overage or under position</t>
  </si>
  <si>
    <t>Largest Positive Offage</t>
  </si>
  <si>
    <t>Largest Negative Offage</t>
  </si>
  <si>
    <t>Total Abs Offage (Target Drift)</t>
  </si>
  <si>
    <t xml:space="preserve">Tolerance Drift </t>
  </si>
  <si>
    <t>Tracking Error %</t>
  </si>
  <si>
    <t>Total Trade $</t>
  </si>
  <si>
    <t>Total Trade Count</t>
  </si>
  <si>
    <t>Post Trade Values</t>
  </si>
  <si>
    <t>Metrics</t>
  </si>
  <si>
    <t>Largest Out  Of Tolerance</t>
  </si>
  <si>
    <t>Trim Just Out Of Balance</t>
  </si>
  <si>
    <t>This one gets each position barely into Tolerance</t>
  </si>
  <si>
    <t>The account is likely to be OOT again tomorrow</t>
  </si>
  <si>
    <t>This is overkill</t>
  </si>
  <si>
    <t>Trade 30% Into Target</t>
  </si>
  <si>
    <t>Get the name and author of my Active Management book with math</t>
  </si>
  <si>
    <t>.7 x Acceptable $ Tol</t>
  </si>
  <si>
    <t>Tracking Error Cap at 1%</t>
  </si>
  <si>
    <t>Max Trade</t>
  </si>
  <si>
    <t>asset location</t>
  </si>
  <si>
    <t>buy whole shares (unless you have fractional capability)</t>
  </si>
  <si>
    <t>These statistics used 3 years of monthly performance returns as of 2/28/2023</t>
  </si>
  <si>
    <t>Base Sample Portfolio</t>
  </si>
  <si>
    <t>Toler Drift</t>
  </si>
  <si>
    <t>Sorted Base Port Sample</t>
  </si>
  <si>
    <t>if your over and underweights are similar, your TE will be higher</t>
  </si>
  <si>
    <t>if your over and unders are very different, you will have a lower TE</t>
  </si>
  <si>
    <t>Shotgun
Methodology</t>
  </si>
  <si>
    <t>Largest Out Of Tolerance</t>
  </si>
  <si>
    <t>Largest Out Of Tolerance
Methodology</t>
  </si>
  <si>
    <t>After Trade Market Values</t>
  </si>
  <si>
    <t>Trade Dollars</t>
  </si>
  <si>
    <t>Current Market Values</t>
  </si>
  <si>
    <t>Market Values</t>
  </si>
  <si>
    <t>Waterfall
Methodology</t>
  </si>
  <si>
    <t>Post Trade % Below Min</t>
  </si>
  <si>
    <t>Post Trade % Above Max</t>
  </si>
  <si>
    <t>Total Equity</t>
  </si>
  <si>
    <t>Total Bond</t>
  </si>
  <si>
    <t>Minimize Tracking Error %
Methodology</t>
  </si>
  <si>
    <t>Minimize Tracking Error</t>
  </si>
  <si>
    <t>Waterfall</t>
  </si>
  <si>
    <t>Largest Positive Offage %</t>
  </si>
  <si>
    <t>Largest Negative Offage %</t>
  </si>
  <si>
    <t>Total Abs Offage % (Target Drift)</t>
  </si>
  <si>
    <t>Comments</t>
  </si>
  <si>
    <t>Pre Trade Stats</t>
  </si>
  <si>
    <r>
      <rPr>
        <b/>
        <sz val="11"/>
        <color theme="1"/>
        <rFont val="Calibri"/>
        <family val="2"/>
        <scheme val="minor"/>
      </rPr>
      <t>Shotgun</t>
    </r>
    <r>
      <rPr>
        <sz val="11"/>
        <color theme="1"/>
        <rFont val="Calibri"/>
        <family val="2"/>
        <scheme val="minor"/>
      </rPr>
      <t xml:space="preserve"> is weakest here</t>
    </r>
  </si>
  <si>
    <r>
      <rPr>
        <b/>
        <sz val="11"/>
        <color theme="1"/>
        <rFont val="Calibri"/>
        <family val="2"/>
        <scheme val="minor"/>
      </rPr>
      <t>Waterfall</t>
    </r>
    <r>
      <rPr>
        <sz val="11"/>
        <color theme="1"/>
        <rFont val="Calibri"/>
        <family val="2"/>
        <scheme val="minor"/>
      </rPr>
      <t xml:space="preserve"> looks best with this metric</t>
    </r>
  </si>
  <si>
    <r>
      <rPr>
        <b/>
        <sz val="11"/>
        <color theme="1"/>
        <rFont val="Calibri"/>
        <family val="2"/>
        <scheme val="minor"/>
      </rPr>
      <t>Minimize Tracking Error</t>
    </r>
    <r>
      <rPr>
        <sz val="11"/>
        <color theme="1"/>
        <rFont val="Calibri"/>
        <family val="2"/>
        <scheme val="minor"/>
      </rPr>
      <t xml:space="preserve"> shines</t>
    </r>
  </si>
  <si>
    <r>
      <rPr>
        <b/>
        <sz val="11"/>
        <color theme="1"/>
        <rFont val="Calibri"/>
        <family val="2"/>
        <scheme val="minor"/>
      </rPr>
      <t>Largest Out Of Tolerance</t>
    </r>
    <r>
      <rPr>
        <sz val="11"/>
        <color theme="1"/>
        <rFont val="Calibri"/>
        <family val="2"/>
        <scheme val="minor"/>
      </rPr>
      <t xml:space="preserve"> looks best here</t>
    </r>
  </si>
  <si>
    <r>
      <rPr>
        <b/>
        <sz val="11"/>
        <color theme="1"/>
        <rFont val="Calibri"/>
        <family val="2"/>
        <scheme val="minor"/>
      </rPr>
      <t>Shotgun</t>
    </r>
    <r>
      <rPr>
        <sz val="11"/>
        <color theme="1"/>
        <rFont val="Calibri"/>
        <family val="2"/>
        <scheme val="minor"/>
      </rPr>
      <t xml:space="preserve"> and </t>
    </r>
    <r>
      <rPr>
        <b/>
        <sz val="11"/>
        <color theme="1"/>
        <rFont val="Calibri"/>
        <family val="2"/>
        <scheme val="minor"/>
      </rPr>
      <t>Minimize Tracking</t>
    </r>
    <r>
      <rPr>
        <sz val="11"/>
        <color theme="1"/>
        <rFont val="Calibri"/>
        <family val="2"/>
        <scheme val="minor"/>
      </rPr>
      <t xml:space="preserve"> </t>
    </r>
    <r>
      <rPr>
        <b/>
        <sz val="11"/>
        <color theme="1"/>
        <rFont val="Calibri"/>
        <family val="2"/>
        <scheme val="minor"/>
      </rPr>
      <t>Error</t>
    </r>
    <r>
      <rPr>
        <sz val="11"/>
        <color theme="1"/>
        <rFont val="Calibri"/>
        <family val="2"/>
        <scheme val="minor"/>
      </rPr>
      <t xml:space="preserve"> win out</t>
    </r>
  </si>
  <si>
    <t>Tolerance Drift  %</t>
  </si>
  <si>
    <t>Total Trade $ (Absolute)</t>
  </si>
  <si>
    <t>Full Rebalance
Methodology</t>
  </si>
  <si>
    <t>Tracking Error Cap at 1%
Methodology</t>
  </si>
  <si>
    <t>Trade 30% Into Target
Methodology</t>
  </si>
  <si>
    <t>Trade Only Out Of Balance
Methodology</t>
  </si>
  <si>
    <t>Total Equity %</t>
  </si>
  <si>
    <t>Total Bond %</t>
  </si>
  <si>
    <t>Trade Only Out Of Balance</t>
  </si>
  <si>
    <t>Tracking Error Cap of 1%</t>
  </si>
  <si>
    <r>
      <t>Full Rebalance</t>
    </r>
    <r>
      <rPr>
        <sz val="11"/>
        <color theme="1"/>
        <rFont val="Calibri"/>
        <family val="2"/>
        <scheme val="minor"/>
      </rPr>
      <t xml:space="preserve"> has the tightest results</t>
    </r>
  </si>
  <si>
    <r>
      <rPr>
        <b/>
        <sz val="11"/>
        <color theme="1"/>
        <rFont val="Calibri"/>
        <family val="2"/>
        <scheme val="minor"/>
      </rPr>
      <t>Full Rebalance</t>
    </r>
    <r>
      <rPr>
        <sz val="11"/>
        <color theme="1"/>
        <rFont val="Calibri"/>
        <family val="2"/>
        <scheme val="minor"/>
      </rPr>
      <t xml:space="preserve"> has the tightest results</t>
    </r>
  </si>
  <si>
    <t>Resulting Tolerance Drift  %</t>
  </si>
  <si>
    <r>
      <rPr>
        <b/>
        <sz val="11"/>
        <color theme="1"/>
        <rFont val="Calibri"/>
        <family val="2"/>
        <scheme val="minor"/>
      </rPr>
      <t xml:space="preserve">Trade Only Out Of Bal </t>
    </r>
    <r>
      <rPr>
        <sz val="11"/>
        <color theme="1"/>
        <rFont val="Calibri"/>
        <family val="2"/>
        <scheme val="minor"/>
      </rPr>
      <t>has the least trades</t>
    </r>
  </si>
  <si>
    <r>
      <rPr>
        <b/>
        <sz val="11"/>
        <color theme="1"/>
        <rFont val="Calibri"/>
        <family val="2"/>
        <scheme val="minor"/>
      </rPr>
      <t>Trade Only Out Of Bal</t>
    </r>
    <r>
      <rPr>
        <sz val="11"/>
        <color theme="1"/>
        <rFont val="Calibri"/>
        <family val="2"/>
        <scheme val="minor"/>
      </rPr>
      <t xml:space="preserve"> has the lowest trade volume</t>
    </r>
  </si>
  <si>
    <t>All of these approaches have reasonable results</t>
  </si>
  <si>
    <t>Before Customizations</t>
  </si>
  <si>
    <t>Are Applied</t>
  </si>
  <si>
    <t>Adjusted Target %</t>
  </si>
  <si>
    <t>Adjusted Target % Max</t>
  </si>
  <si>
    <t>Standard Model Target %</t>
  </si>
  <si>
    <t>Standard Target % Min</t>
  </si>
  <si>
    <t>Standard Target % Max</t>
  </si>
  <si>
    <t>Adjusted Target % Min</t>
  </si>
  <si>
    <t>This excel file is intended to accompany Brian Huckstep's Trading powerpoint from the T3 trading session on March 16.</t>
  </si>
  <si>
    <t>Opinions expressed are as of the current date; such opinions are subject to change without notice. Advyzon Investment Management shall not be responsible for any trading decisions, damages, or other losses resulting from, or related to, the information, data, analyses or opinions or their use. This commentary is for informational purposes only. The information, data, analyses, and opinions presented herein do not constitute investment advice, are provided solely for informational purposes and therefore are not an offer to buy or sell a security. Please note that references to specific securities or other investment options within this piece should not be considered an offer (as defined by the Securities and Exchange Act) to purchase or sell that specific investment or a recommendation for a particular product.</t>
  </si>
  <si>
    <t>Performance data shown represents past performance. Past performance does not guarantee future results. All investments involve risk, including the loss of principal. There can be no assurance that any financial strategy will be successful. This commentary contains certain forward-looking statements. We may use words such as “expects”, “anticipates”, “believes”, “estimates”, “forecasts”, and similar expressions to identify forward-looking statements. Such forward-looking statements involve known and unknown risks, uncertainties and other factors which may cause the actual results to differ materially and/or substantially from any future results, performance or achievements expressed or implied by those projected in the forward-looking statements for any reason.</t>
  </si>
  <si>
    <t>Investment management and financial advice offered by Advyzon Investment Management is intended for citizens or legal residents of the United States or its territories. Investing in securities involves risks, including but are not limited to; currency risk, political risk, geographic risk, concentration risk, custody risk, asset class risk, management risk, market risk, operational risk, passive investment risk, securities lending risk, tracking error risk, tax risk, valuation risk, and infectious illness risk. Investing in emerging markets may increase these risks. Emerging markets are countries with relatively young stock and bond markets. Typically, emerging-markets investments have the potential for losses and gains larger than those of developed-market investments. A debt security refers to money borrowed that must be repaid that has a fixed amount, a maturity date(s), and usually a specific rate of interest. Some debt securities are discounted in the original purchase price. Examples of debt securities are treasury bills, bonds and commercial paper. The borrower pays interest for the use of the money and pays the principal amount on a specified date. High yield debt (non-investment grade or junk bonds) can be more risky than higher rated debt, typically has a higher default rate than investment grade and treasury debt, and high yield funds can lose principal.</t>
  </si>
  <si>
    <t xml:space="preserve">The indexes noted are unmanaged and cannot be directly invested in. Individual index performance is provided as a reference only. Since indexes and/or composition levels may change over time, actual return and risk characteristics may be higher or lower than those presented. Although index performance data is gathered from reliable sources, Advyzon Investment Management cannot guarantee its accuracy, completeness or reliability.
</t>
  </si>
  <si>
    <t>Important Disclosures:</t>
  </si>
  <si>
    <t>The Tracking Error calculations require the installation of Excel's Solver add-in.</t>
  </si>
  <si>
    <t>No portfolios or securities uses as examples in these slides should be considered as recommendations for investing.  The calculations in this presentation are believed to be accurate, but are not warranted.  Advisors should know their clients and should understand any custom considerations that are not mentioned in these slides as part of an effectiveand appropriate rebalancing and trading program.  The advanced formulas, matrix algebra, and solvers in this file require expertise to accurately use and are very easy to use incorrectly if you don't know what you are doing.  The are many cells with Absolute References (dollar signs on the formulas) that require manual updates.  This file is shared freely for a short period of time following the T3 conference in March.  No warranty is offered for any part of this sheet - please review every cell and every formula when you enter your data.</t>
  </si>
  <si>
    <t xml:space="preserve">The advanced formulas, matrix algebra, and solvers in this file require expertise to accurately use and are very easy to use incorrectly if you don't know what you are doing.  The are many cells with Absolute References (dollar signs on the formulas) that require manual updates. </t>
  </si>
  <si>
    <t>This file is shared freely for a short period of time following the T3 conference in March.  No warranty is offered for any part of this sheet - please review every cell and every formula when you enter your data.</t>
  </si>
  <si>
    <t>Cash Flow Trade Mathematics Examples</t>
  </si>
  <si>
    <t>Pre Trade Values</t>
  </si>
  <si>
    <t>Trade Calculations For An Out Of Tolerance Situation</t>
  </si>
  <si>
    <t>Visit www.AdvyzonIM.com for information on Advyzon Investment Management and partnership with trading and investment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</si>
</sst>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5" tint="-0.249977111117893"/>
      <name val="Calibri"/>
      <family val="2"/>
      <scheme val="minor"/>
    </font>
    <font>
      <b/>
      <u/>
      <sz val="11"/>
      <color theme="1"/>
      <name val="Calibri"/>
      <family val="2"/>
      <scheme val="minor"/>
    </font>
    <font>
      <sz val="11"/>
      <color rgb="FF0000FF"/>
      <name val="Calibri"/>
      <family val="2"/>
      <scheme val="minor"/>
    </font>
    <font>
      <sz val="10"/>
      <color theme="1"/>
      <name val="Calibri"/>
      <family val="2"/>
      <scheme val="minor"/>
    </font>
    <font>
      <b/>
      <sz val="11"/>
      <color rgb="FF0000FF"/>
      <name val="Calibri"/>
      <family val="2"/>
      <scheme val="minor"/>
    </font>
    <font>
      <b/>
      <sz val="11"/>
      <color rgb="FFFF0000"/>
      <name val="Calibri"/>
      <family val="2"/>
      <scheme val="minor"/>
    </font>
    <font>
      <sz val="8"/>
      <color theme="1"/>
      <name val="Calibri"/>
      <family val="2"/>
      <scheme val="minor"/>
    </font>
    <font>
      <sz val="11"/>
      <color rgb="FFC00000"/>
      <name val="Calibri"/>
      <family val="2"/>
      <scheme val="minor"/>
    </font>
    <font>
      <sz val="11"/>
      <color theme="7"/>
      <name val="Calibri"/>
      <family val="2"/>
      <scheme val="minor"/>
    </font>
    <font>
      <sz val="8"/>
      <color rgb="FF0000FF"/>
      <name val="Calibri"/>
      <family val="2"/>
      <scheme val="minor"/>
    </font>
    <font>
      <sz val="8"/>
      <color rgb="FFC00000"/>
      <name val="Calibri"/>
      <family val="2"/>
      <scheme val="minor"/>
    </font>
    <font>
      <sz val="11"/>
      <color rgb="FF92D050"/>
      <name val="Calibri"/>
      <family val="2"/>
      <scheme val="minor"/>
    </font>
    <font>
      <b/>
      <sz val="12"/>
      <color theme="1"/>
      <name val="Calibri"/>
      <family val="2"/>
      <scheme val="minor"/>
    </font>
    <font>
      <b/>
      <sz val="9"/>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66FF"/>
        <bgColor indexed="64"/>
      </patternFill>
    </fill>
    <fill>
      <patternFill patternType="solid">
        <fgColor theme="7" tint="0.79998168889431442"/>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rgb="FFC00000"/>
      </right>
      <top/>
      <bottom/>
      <diagonal/>
    </border>
    <border>
      <left/>
      <right style="medium">
        <color rgb="FFC00000"/>
      </right>
      <top/>
      <bottom style="medium">
        <color indexed="64"/>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168">
    <xf numFmtId="0" fontId="0" fillId="0" borderId="0" xfId="0"/>
    <xf numFmtId="0" fontId="0" fillId="0" borderId="0" xfId="0" applyAlignment="1">
      <alignment horizontal="center"/>
    </xf>
    <xf numFmtId="164" fontId="0" fillId="0" borderId="0" xfId="1" applyNumberFormat="1" applyFont="1" applyAlignment="1">
      <alignment horizontal="center"/>
    </xf>
    <xf numFmtId="4" fontId="0" fillId="0" borderId="0" xfId="0" applyNumberFormat="1" applyAlignment="1">
      <alignment horizontal="center"/>
    </xf>
    <xf numFmtId="0" fontId="4" fillId="0" borderId="0" xfId="0" applyFont="1" applyAlignment="1">
      <alignment horizontal="center"/>
    </xf>
    <xf numFmtId="0" fontId="3" fillId="0" borderId="0" xfId="0" applyFont="1"/>
    <xf numFmtId="0" fontId="5" fillId="0" borderId="0" xfId="0" applyFont="1"/>
    <xf numFmtId="4" fontId="0" fillId="0" borderId="0" xfId="0" applyNumberFormat="1" applyFont="1" applyAlignment="1">
      <alignment horizontal="center"/>
    </xf>
    <xf numFmtId="0" fontId="0" fillId="0" borderId="0" xfId="0" applyFont="1"/>
    <xf numFmtId="4" fontId="1" fillId="0" borderId="0" xfId="0" applyNumberFormat="1" applyFont="1" applyAlignment="1">
      <alignment horizontal="center"/>
    </xf>
    <xf numFmtId="0" fontId="0" fillId="0" borderId="0" xfId="0" applyFont="1" applyAlignment="1">
      <alignment horizontal="center"/>
    </xf>
    <xf numFmtId="164" fontId="2" fillId="0" borderId="0" xfId="1" applyNumberFormat="1" applyFont="1" applyAlignment="1">
      <alignment horizontal="center"/>
    </xf>
    <xf numFmtId="4" fontId="2" fillId="0" borderId="0" xfId="0" applyNumberFormat="1" applyFont="1" applyAlignment="1">
      <alignment horizontal="center"/>
    </xf>
    <xf numFmtId="0" fontId="2" fillId="0" borderId="0" xfId="0" applyFont="1" applyAlignment="1">
      <alignment horizontal="center"/>
    </xf>
    <xf numFmtId="164" fontId="6" fillId="0" borderId="0" xfId="1" applyNumberFormat="1" applyFont="1" applyAlignment="1">
      <alignment horizontal="center"/>
    </xf>
    <xf numFmtId="4" fontId="6" fillId="0" borderId="0" xfId="0" applyNumberFormat="1" applyFont="1" applyAlignment="1">
      <alignment horizontal="center"/>
    </xf>
    <xf numFmtId="0" fontId="6" fillId="0" borderId="0" xfId="0" applyFont="1"/>
    <xf numFmtId="0" fontId="0" fillId="0" borderId="0" xfId="0" applyAlignment="1">
      <alignment wrapText="1"/>
    </xf>
    <xf numFmtId="164" fontId="0" fillId="0" borderId="0" xfId="0" applyNumberFormat="1" applyAlignment="1">
      <alignment horizontal="center"/>
    </xf>
    <xf numFmtId="0" fontId="7" fillId="0" borderId="0" xfId="0" applyFont="1" applyAlignment="1">
      <alignment horizontal="center"/>
    </xf>
    <xf numFmtId="0" fontId="3" fillId="0" borderId="0" xfId="0" applyFont="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wrapText="1"/>
    </xf>
    <xf numFmtId="0" fontId="0" fillId="0" borderId="1" xfId="0" applyFont="1" applyBorder="1" applyAlignment="1">
      <alignment horizontal="center" wrapText="1"/>
    </xf>
    <xf numFmtId="164" fontId="8" fillId="2" borderId="0" xfId="1" applyNumberFormat="1" applyFont="1" applyFill="1" applyAlignment="1">
      <alignment horizontal="center"/>
    </xf>
    <xf numFmtId="164" fontId="3" fillId="2" borderId="0" xfId="1" applyNumberFormat="1" applyFont="1" applyFill="1" applyAlignment="1">
      <alignment horizontal="center"/>
    </xf>
    <xf numFmtId="164" fontId="6" fillId="0" borderId="0" xfId="1" applyNumberFormat="1" applyFont="1" applyFill="1" applyAlignment="1">
      <alignment horizontal="center"/>
    </xf>
    <xf numFmtId="4" fontId="6" fillId="0" borderId="0" xfId="0" applyNumberFormat="1" applyFont="1" applyFill="1" applyAlignment="1">
      <alignment horizontal="center"/>
    </xf>
    <xf numFmtId="164" fontId="2" fillId="0" borderId="0" xfId="1" applyNumberFormat="1" applyFont="1" applyFill="1" applyAlignment="1">
      <alignment horizontal="center"/>
    </xf>
    <xf numFmtId="4" fontId="2" fillId="0" borderId="0" xfId="0" applyNumberFormat="1" applyFont="1" applyFill="1" applyAlignment="1">
      <alignment horizontal="center"/>
    </xf>
    <xf numFmtId="164" fontId="0" fillId="0" borderId="0" xfId="0" applyNumberFormat="1" applyFill="1" applyAlignment="1">
      <alignment horizontal="center"/>
    </xf>
    <xf numFmtId="164" fontId="1" fillId="0" borderId="0" xfId="1" applyNumberFormat="1" applyFont="1" applyFill="1" applyAlignment="1">
      <alignment horizontal="center"/>
    </xf>
    <xf numFmtId="164" fontId="0" fillId="0" borderId="0" xfId="0" applyNumberFormat="1" applyFont="1" applyFill="1" applyAlignment="1">
      <alignment horizontal="center"/>
    </xf>
    <xf numFmtId="164" fontId="0" fillId="0" borderId="0" xfId="0" applyNumberFormat="1" applyFont="1" applyAlignment="1">
      <alignment horizontal="center"/>
    </xf>
    <xf numFmtId="0" fontId="0" fillId="3" borderId="0" xfId="0" applyFill="1"/>
    <xf numFmtId="0" fontId="0" fillId="3" borderId="0" xfId="0" applyFill="1" applyAlignment="1">
      <alignment horizontal="center"/>
    </xf>
    <xf numFmtId="4" fontId="0" fillId="3" borderId="0" xfId="0" applyNumberFormat="1" applyFill="1" applyAlignment="1">
      <alignment horizontal="center"/>
    </xf>
    <xf numFmtId="0" fontId="0" fillId="0" borderId="0" xfId="0" applyFont="1" applyAlignment="1">
      <alignment wrapText="1"/>
    </xf>
    <xf numFmtId="0" fontId="3" fillId="4" borderId="0" xfId="0" applyFont="1" applyFill="1"/>
    <xf numFmtId="0" fontId="3" fillId="4" borderId="0" xfId="0" applyFont="1" applyFill="1" applyAlignment="1">
      <alignment wrapText="1"/>
    </xf>
    <xf numFmtId="2" fontId="0" fillId="0" borderId="0" xfId="0" applyNumberFormat="1" applyAlignment="1">
      <alignment horizontal="center"/>
    </xf>
    <xf numFmtId="4" fontId="2" fillId="5" borderId="0" xfId="0" applyNumberFormat="1" applyFont="1" applyFill="1" applyAlignment="1">
      <alignment horizontal="center"/>
    </xf>
    <xf numFmtId="164" fontId="0" fillId="5" borderId="0" xfId="0" applyNumberFormat="1" applyFill="1" applyAlignment="1">
      <alignment horizontal="center"/>
    </xf>
    <xf numFmtId="4" fontId="0" fillId="5" borderId="0" xfId="0" applyNumberFormat="1" applyFont="1" applyFill="1" applyAlignment="1">
      <alignment horizontal="center"/>
    </xf>
    <xf numFmtId="4" fontId="0" fillId="0" borderId="0" xfId="0" applyNumberFormat="1" applyFont="1" applyFill="1" applyAlignment="1">
      <alignment horizontal="center"/>
    </xf>
    <xf numFmtId="10" fontId="0" fillId="0" borderId="0" xfId="0" applyNumberFormat="1" applyAlignment="1">
      <alignment horizontal="center"/>
    </xf>
    <xf numFmtId="10" fontId="0" fillId="0" borderId="0" xfId="0" applyNumberFormat="1" applyFont="1" applyFill="1" applyAlignment="1">
      <alignment horizontal="center"/>
    </xf>
    <xf numFmtId="10" fontId="0" fillId="0" borderId="0" xfId="0" applyNumberFormat="1" applyFont="1" applyAlignment="1">
      <alignment horizontal="center"/>
    </xf>
    <xf numFmtId="10" fontId="0" fillId="5" borderId="0" xfId="0" applyNumberFormat="1" applyFill="1" applyAlignment="1">
      <alignment horizontal="center"/>
    </xf>
    <xf numFmtId="10" fontId="0" fillId="5" borderId="0" xfId="0" applyNumberFormat="1" applyFont="1" applyFill="1" applyAlignment="1">
      <alignment horizontal="center"/>
    </xf>
    <xf numFmtId="10" fontId="0" fillId="0" borderId="0" xfId="1" applyNumberFormat="1" applyFont="1" applyAlignment="1">
      <alignment horizontal="center"/>
    </xf>
    <xf numFmtId="10" fontId="7" fillId="0" borderId="0" xfId="0" applyNumberFormat="1" applyFont="1" applyAlignment="1">
      <alignment horizontal="center"/>
    </xf>
    <xf numFmtId="10" fontId="0" fillId="3" borderId="0" xfId="0" applyNumberFormat="1" applyFill="1"/>
    <xf numFmtId="10" fontId="2" fillId="0" borderId="0" xfId="1" applyNumberFormat="1" applyFont="1" applyAlignment="1">
      <alignment horizontal="center"/>
    </xf>
    <xf numFmtId="10" fontId="2" fillId="0" borderId="0" xfId="1" applyNumberFormat="1" applyFont="1" applyFill="1" applyAlignment="1">
      <alignment horizontal="center"/>
    </xf>
    <xf numFmtId="10" fontId="0" fillId="3" borderId="0" xfId="0" applyNumberFormat="1" applyFill="1" applyAlignment="1">
      <alignment horizontal="center"/>
    </xf>
    <xf numFmtId="10" fontId="0" fillId="0" borderId="0" xfId="0" applyNumberFormat="1" applyFill="1" applyAlignment="1">
      <alignment horizontal="center"/>
    </xf>
    <xf numFmtId="164" fontId="0" fillId="0" borderId="2" xfId="0" applyNumberFormat="1" applyBorder="1" applyAlignment="1">
      <alignment horizontal="center"/>
    </xf>
    <xf numFmtId="0" fontId="0" fillId="0" borderId="2" xfId="0" applyBorder="1" applyAlignment="1">
      <alignment horizontal="center"/>
    </xf>
    <xf numFmtId="164" fontId="0" fillId="0" borderId="2" xfId="1" applyNumberFormat="1" applyFont="1" applyBorder="1" applyAlignment="1">
      <alignment horizontal="center"/>
    </xf>
    <xf numFmtId="0" fontId="0" fillId="3" borderId="2" xfId="0" applyFill="1" applyBorder="1"/>
    <xf numFmtId="164" fontId="0" fillId="0" borderId="2" xfId="0" applyNumberFormat="1" applyFill="1" applyBorder="1" applyAlignment="1">
      <alignment horizontal="center"/>
    </xf>
    <xf numFmtId="166" fontId="0" fillId="0" borderId="0" xfId="0" applyNumberFormat="1"/>
    <xf numFmtId="166" fontId="0" fillId="0" borderId="0" xfId="0" applyNumberFormat="1" applyAlignment="1">
      <alignment horizontal="center"/>
    </xf>
    <xf numFmtId="0" fontId="10" fillId="0" borderId="0" xfId="0" applyFont="1" applyAlignment="1">
      <alignment wrapText="1"/>
    </xf>
    <xf numFmtId="166" fontId="11" fillId="0" borderId="0" xfId="0" applyNumberFormat="1" applyFont="1" applyAlignment="1">
      <alignment horizontal="center"/>
    </xf>
    <xf numFmtId="165" fontId="10" fillId="0" borderId="0" xfId="0" applyNumberFormat="1" applyFont="1" applyAlignment="1">
      <alignment horizontal="center" wrapText="1"/>
    </xf>
    <xf numFmtId="4" fontId="3" fillId="0" borderId="0" xfId="0" applyNumberFormat="1" applyFont="1" applyBorder="1" applyAlignment="1">
      <alignment horizontal="center" wrapText="1"/>
    </xf>
    <xf numFmtId="4" fontId="0" fillId="0" borderId="0" xfId="0" applyNumberFormat="1" applyFont="1" applyBorder="1" applyAlignment="1">
      <alignment horizontal="center"/>
    </xf>
    <xf numFmtId="4" fontId="1" fillId="0" borderId="0" xfId="0" applyNumberFormat="1" applyFont="1" applyBorder="1" applyAlignment="1">
      <alignment horizontal="center"/>
    </xf>
    <xf numFmtId="4" fontId="0" fillId="0" borderId="0" xfId="0" applyNumberFormat="1" applyBorder="1" applyAlignment="1">
      <alignment horizontal="center"/>
    </xf>
    <xf numFmtId="164" fontId="0" fillId="0" borderId="0" xfId="1" applyNumberFormat="1" applyFont="1" applyFill="1" applyAlignment="1">
      <alignment horizontal="center"/>
    </xf>
    <xf numFmtId="0" fontId="12" fillId="0" borderId="0" xfId="0" applyFont="1" applyAlignment="1">
      <alignment horizontal="center"/>
    </xf>
    <xf numFmtId="0" fontId="3" fillId="0" borderId="4" xfId="0" applyFont="1" applyBorder="1" applyAlignment="1">
      <alignment wrapText="1"/>
    </xf>
    <xf numFmtId="164" fontId="0" fillId="5" borderId="2" xfId="0" applyNumberFormat="1" applyFill="1" applyBorder="1" applyAlignment="1">
      <alignment horizontal="center"/>
    </xf>
    <xf numFmtId="0" fontId="12" fillId="0" borderId="0" xfId="0" applyFont="1" applyAlignment="1">
      <alignment horizontal="center" wrapText="1"/>
    </xf>
    <xf numFmtId="0" fontId="0" fillId="0" borderId="1" xfId="0" applyBorder="1"/>
    <xf numFmtId="0" fontId="10" fillId="0" borderId="1" xfId="0" applyFont="1" applyBorder="1" applyAlignment="1">
      <alignment wrapText="1"/>
    </xf>
    <xf numFmtId="0" fontId="6" fillId="0" borderId="1" xfId="0" applyFont="1" applyBorder="1"/>
    <xf numFmtId="2" fontId="6" fillId="0" borderId="0" xfId="0" applyNumberFormat="1" applyFont="1" applyAlignment="1">
      <alignment horizontal="center"/>
    </xf>
    <xf numFmtId="0" fontId="13" fillId="0" borderId="0" xfId="0" applyFont="1" applyAlignment="1">
      <alignment horizontal="center" wrapText="1"/>
    </xf>
    <xf numFmtId="165" fontId="14" fillId="0" borderId="0" xfId="0" applyNumberFormat="1" applyFont="1" applyAlignment="1">
      <alignment horizontal="center" wrapText="1"/>
    </xf>
    <xf numFmtId="0" fontId="7" fillId="0" borderId="2" xfId="0" applyFont="1" applyBorder="1" applyAlignment="1">
      <alignment horizontal="center"/>
    </xf>
    <xf numFmtId="0" fontId="0" fillId="3" borderId="2" xfId="0" applyFill="1" applyBorder="1" applyAlignment="1">
      <alignment horizontal="center"/>
    </xf>
    <xf numFmtId="0" fontId="15" fillId="0" borderId="0" xfId="0" applyFont="1"/>
    <xf numFmtId="164" fontId="6" fillId="0" borderId="5" xfId="1" applyNumberFormat="1" applyFont="1" applyBorder="1" applyAlignment="1">
      <alignment horizontal="center"/>
    </xf>
    <xf numFmtId="164" fontId="6" fillId="0" borderId="5" xfId="1" applyNumberFormat="1" applyFont="1" applyFill="1" applyBorder="1" applyAlignment="1">
      <alignment horizontal="center"/>
    </xf>
    <xf numFmtId="0" fontId="6" fillId="0" borderId="5" xfId="0" applyFont="1" applyBorder="1"/>
    <xf numFmtId="0" fontId="0" fillId="0" borderId="5" xfId="0" applyBorder="1"/>
    <xf numFmtId="0" fontId="0" fillId="3" borderId="5" xfId="0" applyFill="1" applyBorder="1"/>
    <xf numFmtId="0" fontId="3" fillId="0" borderId="4" xfId="0" applyFont="1" applyBorder="1" applyAlignment="1">
      <alignment horizontal="center" wrapText="1"/>
    </xf>
    <xf numFmtId="0" fontId="0" fillId="0" borderId="1" xfId="0" applyFont="1" applyBorder="1"/>
    <xf numFmtId="0" fontId="0" fillId="0" borderId="1" xfId="0" applyFont="1" applyBorder="1" applyAlignment="1">
      <alignment horizontal="center"/>
    </xf>
    <xf numFmtId="4" fontId="0" fillId="0" borderId="1" xfId="0" applyNumberFormat="1" applyFont="1" applyBorder="1" applyAlignment="1">
      <alignment horizontal="center"/>
    </xf>
    <xf numFmtId="164" fontId="1" fillId="0" borderId="1" xfId="1" applyNumberFormat="1" applyFont="1" applyBorder="1" applyAlignment="1">
      <alignment horizontal="center"/>
    </xf>
    <xf numFmtId="164" fontId="6" fillId="0" borderId="1" xfId="1" applyNumberFormat="1" applyFont="1" applyBorder="1" applyAlignment="1">
      <alignment horizontal="center"/>
    </xf>
    <xf numFmtId="4" fontId="6" fillId="0" borderId="1" xfId="0" applyNumberFormat="1" applyFont="1" applyBorder="1" applyAlignment="1">
      <alignment horizontal="center"/>
    </xf>
    <xf numFmtId="10" fontId="2" fillId="0" borderId="1" xfId="1" applyNumberFormat="1" applyFont="1" applyBorder="1" applyAlignment="1">
      <alignment horizontal="center"/>
    </xf>
    <xf numFmtId="4" fontId="2" fillId="0" borderId="1" xfId="0" applyNumberFormat="1" applyFont="1" applyBorder="1" applyAlignment="1">
      <alignment horizontal="center"/>
    </xf>
    <xf numFmtId="10" fontId="0" fillId="0" borderId="1" xfId="0" applyNumberFormat="1" applyFont="1" applyBorder="1" applyAlignment="1">
      <alignment horizontal="center"/>
    </xf>
    <xf numFmtId="4" fontId="3" fillId="0" borderId="4" xfId="0" applyNumberFormat="1" applyFont="1" applyBorder="1" applyAlignment="1">
      <alignment horizontal="center" wrapText="1"/>
    </xf>
    <xf numFmtId="0" fontId="8" fillId="0" borderId="4" xfId="0" applyFont="1" applyBorder="1" applyAlignment="1">
      <alignment horizontal="center" wrapText="1"/>
    </xf>
    <xf numFmtId="0" fontId="9" fillId="0" borderId="4" xfId="0" applyFont="1" applyBorder="1" applyAlignment="1">
      <alignment horizontal="center" wrapText="1"/>
    </xf>
    <xf numFmtId="0" fontId="0" fillId="0" borderId="4" xfId="0" applyFont="1" applyBorder="1" applyAlignment="1">
      <alignment horizontal="center" wrapText="1"/>
    </xf>
    <xf numFmtId="0" fontId="16" fillId="0" borderId="4" xfId="0" applyFont="1" applyBorder="1" applyAlignment="1">
      <alignment vertical="center" wrapText="1"/>
    </xf>
    <xf numFmtId="0" fontId="8" fillId="0" borderId="6" xfId="0" applyFont="1" applyBorder="1" applyAlignment="1">
      <alignment horizontal="center" wrapText="1"/>
    </xf>
    <xf numFmtId="0" fontId="3" fillId="0" borderId="7" xfId="0" applyFont="1" applyBorder="1" applyAlignment="1">
      <alignment horizontal="center" wrapText="1"/>
    </xf>
    <xf numFmtId="10" fontId="9" fillId="0" borderId="4" xfId="0" applyNumberFormat="1" applyFont="1" applyBorder="1" applyAlignment="1">
      <alignment horizontal="center" wrapText="1"/>
    </xf>
    <xf numFmtId="10" fontId="3" fillId="0" borderId="4" xfId="0" applyNumberFormat="1" applyFont="1" applyBorder="1" applyAlignment="1">
      <alignment horizontal="center" wrapText="1"/>
    </xf>
    <xf numFmtId="0" fontId="0" fillId="0" borderId="7" xfId="0" applyFont="1" applyBorder="1" applyAlignment="1">
      <alignment horizontal="center" wrapText="1"/>
    </xf>
    <xf numFmtId="165" fontId="0" fillId="0" borderId="0" xfId="0" applyNumberFormat="1"/>
    <xf numFmtId="0" fontId="3" fillId="0" borderId="0" xfId="0" applyFont="1" applyBorder="1" applyAlignment="1">
      <alignment horizontal="center" wrapText="1"/>
    </xf>
    <xf numFmtId="10" fontId="3" fillId="0" borderId="0" xfId="0" applyNumberFormat="1" applyFont="1" applyBorder="1" applyAlignment="1">
      <alignment horizontal="center" wrapText="1"/>
    </xf>
    <xf numFmtId="0" fontId="17" fillId="0" borderId="4" xfId="0" applyFont="1" applyBorder="1" applyAlignment="1">
      <alignment horizontal="center" wrapText="1"/>
    </xf>
    <xf numFmtId="0" fontId="17" fillId="0" borderId="7" xfId="0" applyFont="1" applyBorder="1" applyAlignment="1">
      <alignment horizontal="center" wrapText="1"/>
    </xf>
    <xf numFmtId="164" fontId="2" fillId="5" borderId="0" xfId="1" applyNumberFormat="1" applyFont="1" applyFill="1" applyAlignment="1">
      <alignment horizontal="center"/>
    </xf>
    <xf numFmtId="164" fontId="0" fillId="0" borderId="0" xfId="0" applyNumberFormat="1"/>
    <xf numFmtId="10" fontId="0" fillId="0" borderId="1" xfId="0" applyNumberFormat="1" applyBorder="1" applyAlignment="1">
      <alignment horizontal="center"/>
    </xf>
    <xf numFmtId="10" fontId="0" fillId="0" borderId="0" xfId="0" applyNumberFormat="1" applyAlignment="1">
      <alignment horizontal="center" vertical="center"/>
    </xf>
    <xf numFmtId="0" fontId="0" fillId="0" borderId="0" xfId="0" applyAlignment="1">
      <alignment vertical="center"/>
    </xf>
    <xf numFmtId="10" fontId="0" fillId="0" borderId="1" xfId="0" applyNumberFormat="1" applyBorder="1" applyAlignment="1">
      <alignment horizontal="center" vertical="center"/>
    </xf>
    <xf numFmtId="0" fontId="0" fillId="0" borderId="1" xfId="0" applyBorder="1" applyAlignment="1">
      <alignment vertical="center"/>
    </xf>
    <xf numFmtId="4" fontId="0" fillId="0" borderId="0" xfId="0" applyNumberFormat="1" applyAlignment="1">
      <alignment horizontal="center" vertical="center"/>
    </xf>
    <xf numFmtId="0" fontId="0" fillId="0" borderId="1" xfId="0" applyBorder="1" applyAlignment="1">
      <alignment horizontal="center" vertical="center"/>
    </xf>
    <xf numFmtId="164" fontId="0" fillId="0" borderId="0" xfId="0" applyNumberFormat="1" applyAlignment="1">
      <alignment horizontal="center" vertical="center"/>
    </xf>
    <xf numFmtId="10" fontId="0" fillId="6" borderId="0" xfId="0" applyNumberFormat="1" applyFill="1" applyAlignment="1">
      <alignment horizontal="center" vertical="center"/>
    </xf>
    <xf numFmtId="10" fontId="0" fillId="6" borderId="1" xfId="0" applyNumberFormat="1" applyFill="1" applyBorder="1" applyAlignment="1">
      <alignment horizontal="center" vertical="center"/>
    </xf>
    <xf numFmtId="0" fontId="0" fillId="6" borderId="1" xfId="0" applyFill="1" applyBorder="1" applyAlignment="1">
      <alignment horizontal="center" vertical="center"/>
    </xf>
    <xf numFmtId="164" fontId="0" fillId="6" borderId="0" xfId="0" applyNumberFormat="1" applyFill="1" applyAlignment="1">
      <alignment horizontal="center" vertical="center"/>
    </xf>
    <xf numFmtId="0" fontId="7" fillId="7" borderId="0" xfId="0" applyFont="1" applyFill="1" applyAlignment="1">
      <alignment horizontal="center"/>
    </xf>
    <xf numFmtId="0" fontId="7" fillId="2" borderId="0" xfId="0" applyFont="1" applyFill="1" applyAlignment="1">
      <alignment horizontal="center"/>
    </xf>
    <xf numFmtId="0" fontId="0" fillId="8" borderId="0" xfId="0" applyFill="1" applyAlignment="1">
      <alignment horizontal="right"/>
    </xf>
    <xf numFmtId="10" fontId="0" fillId="8" borderId="0" xfId="1" applyNumberFormat="1" applyFont="1" applyFill="1" applyAlignment="1">
      <alignment horizontal="center"/>
    </xf>
    <xf numFmtId="10" fontId="3" fillId="8" borderId="0" xfId="1" applyNumberFormat="1" applyFont="1" applyFill="1" applyAlignment="1">
      <alignment horizontal="center"/>
    </xf>
    <xf numFmtId="10" fontId="3" fillId="7" borderId="0" xfId="1" applyNumberFormat="1" applyFont="1" applyFill="1" applyAlignment="1">
      <alignment horizontal="center"/>
    </xf>
    <xf numFmtId="10" fontId="3" fillId="2" borderId="0" xfId="1" applyNumberFormat="1" applyFont="1" applyFill="1" applyAlignment="1">
      <alignment horizontal="center"/>
    </xf>
    <xf numFmtId="164" fontId="0" fillId="9" borderId="0" xfId="1" applyNumberFormat="1" applyFont="1" applyFill="1" applyAlignment="1">
      <alignment horizontal="center"/>
    </xf>
    <xf numFmtId="0" fontId="7" fillId="9" borderId="2" xfId="0" applyFont="1" applyFill="1" applyBorder="1" applyAlignment="1">
      <alignment horizontal="left"/>
    </xf>
    <xf numFmtId="0" fontId="0" fillId="0" borderId="8" xfId="0" applyBorder="1"/>
    <xf numFmtId="0" fontId="0" fillId="0" borderId="0" xfId="0" applyBorder="1"/>
    <xf numFmtId="164" fontId="0" fillId="0" borderId="0" xfId="0" applyNumberFormat="1" applyBorder="1" applyAlignment="1">
      <alignment horizontal="center"/>
    </xf>
    <xf numFmtId="0" fontId="0" fillId="0" borderId="0" xfId="0" applyBorder="1" applyAlignment="1">
      <alignment horizontal="center"/>
    </xf>
    <xf numFmtId="164" fontId="0" fillId="0" borderId="0" xfId="1" applyNumberFormat="1" applyFont="1" applyBorder="1" applyAlignment="1">
      <alignment horizontal="center"/>
    </xf>
    <xf numFmtId="0" fontId="7" fillId="9" borderId="0" xfId="0" applyFont="1" applyFill="1" applyBorder="1" applyAlignment="1">
      <alignment horizontal="left"/>
    </xf>
    <xf numFmtId="0" fontId="0" fillId="3" borderId="0" xfId="0" applyFill="1" applyBorder="1"/>
    <xf numFmtId="0" fontId="0" fillId="0" borderId="8" xfId="0" applyBorder="1" applyAlignment="1">
      <alignment vertical="center"/>
    </xf>
    <xf numFmtId="3" fontId="0" fillId="0" borderId="1" xfId="0" applyNumberFormat="1" applyBorder="1" applyAlignment="1">
      <alignment horizontal="center"/>
    </xf>
    <xf numFmtId="4" fontId="0" fillId="0" borderId="0" xfId="0" applyNumberFormat="1" applyFill="1" applyAlignment="1">
      <alignment horizontal="center" vertical="center"/>
    </xf>
    <xf numFmtId="10" fontId="0" fillId="6" borderId="0" xfId="0" applyNumberFormat="1" applyFill="1" applyAlignment="1">
      <alignment horizontal="center"/>
    </xf>
    <xf numFmtId="10" fontId="0" fillId="6" borderId="1" xfId="0" applyNumberFormat="1" applyFill="1" applyBorder="1" applyAlignment="1">
      <alignment horizontal="center"/>
    </xf>
    <xf numFmtId="0" fontId="0" fillId="6" borderId="0" xfId="0" applyFill="1" applyAlignment="1">
      <alignment horizontal="center"/>
    </xf>
    <xf numFmtId="3" fontId="0" fillId="6" borderId="1" xfId="0" applyNumberFormat="1" applyFill="1" applyBorder="1" applyAlignment="1">
      <alignment horizontal="center"/>
    </xf>
    <xf numFmtId="164" fontId="6" fillId="2" borderId="0" xfId="1" applyNumberFormat="1" applyFont="1" applyFill="1" applyAlignment="1">
      <alignment horizontal="center"/>
    </xf>
    <xf numFmtId="164" fontId="0" fillId="0" borderId="1" xfId="1" applyNumberFormat="1"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64" fontId="6" fillId="10" borderId="0" xfId="1" applyNumberFormat="1" applyFont="1" applyFill="1" applyAlignment="1">
      <alignment horizontal="center"/>
    </xf>
    <xf numFmtId="164" fontId="6" fillId="10" borderId="1" xfId="1" applyNumberFormat="1" applyFont="1" applyFill="1" applyBorder="1" applyAlignment="1">
      <alignment horizontal="center"/>
    </xf>
    <xf numFmtId="0" fontId="0" fillId="0" borderId="8" xfId="0" applyBorder="1" applyAlignment="1">
      <alignment vertical="center"/>
    </xf>
    <xf numFmtId="0" fontId="0" fillId="0" borderId="0" xfId="0"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0" xfId="0" applyAlignment="1"/>
    <xf numFmtId="164" fontId="0" fillId="2" borderId="0" xfId="1" applyNumberFormat="1" applyFont="1" applyFill="1" applyAlignment="1">
      <alignment horizontal="center"/>
    </xf>
  </cellXfs>
  <cellStyles count="2">
    <cellStyle name="Normal" xfId="0" builtinId="0"/>
    <cellStyle name="Percent" xfId="1" builtinId="5"/>
  </cellStyles>
  <dxfs count="1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Shotgun Approach</a:t>
            </a:r>
            <a:r>
              <a:rPr lang="en-US" baseline="0">
                <a:solidFill>
                  <a:schemeClr val="tx1"/>
                </a:solidFill>
              </a:rPr>
              <a:t> To Trading</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Math'!$J$35:$J$45</c:f>
              <c:numCache>
                <c:formatCode>#,##0.00</c:formatCode>
                <c:ptCount val="11"/>
                <c:pt idx="0">
                  <c:v>-1900</c:v>
                </c:pt>
                <c:pt idx="1">
                  <c:v>-1700</c:v>
                </c:pt>
                <c:pt idx="2">
                  <c:v>-1600</c:v>
                </c:pt>
                <c:pt idx="3">
                  <c:v>-1000</c:v>
                </c:pt>
                <c:pt idx="4">
                  <c:v>-300</c:v>
                </c:pt>
                <c:pt idx="5">
                  <c:v>0</c:v>
                </c:pt>
                <c:pt idx="6">
                  <c:v>400</c:v>
                </c:pt>
                <c:pt idx="7">
                  <c:v>700</c:v>
                </c:pt>
                <c:pt idx="8">
                  <c:v>1700</c:v>
                </c:pt>
                <c:pt idx="9">
                  <c:v>1800</c:v>
                </c:pt>
                <c:pt idx="10">
                  <c:v>1900</c:v>
                </c:pt>
              </c:numCache>
            </c:numRef>
          </c:val>
          <c:extLst>
            <c:ext xmlns:c16="http://schemas.microsoft.com/office/drawing/2014/chart" uri="{C3380CC4-5D6E-409C-BE32-E72D297353CC}">
              <c16:uniqueId val="{00000000-86AC-462D-89BC-910466C5D810}"/>
            </c:ext>
          </c:extLst>
        </c:ser>
        <c:ser>
          <c:idx val="1"/>
          <c:order val="1"/>
          <c:tx>
            <c:v>Offage $ After Trades</c:v>
          </c:tx>
          <c:spPr>
            <a:solidFill>
              <a:schemeClr val="accent2"/>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Math'!$U$35:$U$45</c:f>
              <c:numCache>
                <c:formatCode>#,##0.00</c:formatCode>
                <c:ptCount val="11"/>
                <c:pt idx="0">
                  <c:v>-1900</c:v>
                </c:pt>
                <c:pt idx="1">
                  <c:v>-1700</c:v>
                </c:pt>
                <c:pt idx="2">
                  <c:v>-1600</c:v>
                </c:pt>
                <c:pt idx="3">
                  <c:v>-1000</c:v>
                </c:pt>
                <c:pt idx="4">
                  <c:v>-300</c:v>
                </c:pt>
                <c:pt idx="5">
                  <c:v>0</c:v>
                </c:pt>
                <c:pt idx="6">
                  <c:v>400</c:v>
                </c:pt>
                <c:pt idx="7">
                  <c:v>700</c:v>
                </c:pt>
                <c:pt idx="8">
                  <c:v>1700</c:v>
                </c:pt>
                <c:pt idx="9">
                  <c:v>1800</c:v>
                </c:pt>
                <c:pt idx="10">
                  <c:v>1900</c:v>
                </c:pt>
              </c:numCache>
            </c:numRef>
          </c:val>
          <c:extLst>
            <c:ext xmlns:c16="http://schemas.microsoft.com/office/drawing/2014/chart" uri="{C3380CC4-5D6E-409C-BE32-E72D297353CC}">
              <c16:uniqueId val="{00000001-86AC-462D-89BC-910466C5D810}"/>
            </c:ext>
          </c:extLst>
        </c:ser>
        <c:dLbls>
          <c:showLegendKey val="0"/>
          <c:showVal val="0"/>
          <c:showCatName val="0"/>
          <c:showSerName val="0"/>
          <c:showPercent val="0"/>
          <c:showBubbleSize val="0"/>
        </c:dLbls>
        <c:gapWidth val="182"/>
        <c:axId val="546149544"/>
        <c:axId val="545692176"/>
      </c:barChart>
      <c:catAx>
        <c:axId val="546149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45692176"/>
        <c:crosses val="autoZero"/>
        <c:auto val="1"/>
        <c:lblAlgn val="ctr"/>
        <c:lblOffset val="100"/>
        <c:noMultiLvlLbl val="0"/>
      </c:catAx>
      <c:valAx>
        <c:axId val="545692176"/>
        <c:scaling>
          <c:orientation val="minMax"/>
          <c:max val="2000"/>
          <c:min val="-2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546149544"/>
        <c:crosses val="autoZero"/>
        <c:crossBetween val="between"/>
      </c:valAx>
      <c:spPr>
        <a:noFill/>
        <a:ln>
          <a:noFill/>
        </a:ln>
        <a:effectLst/>
      </c:spPr>
    </c:plotArea>
    <c:legend>
      <c:legendPos val="l"/>
      <c:layout>
        <c:manualLayout>
          <c:xMode val="edge"/>
          <c:yMode val="edge"/>
          <c:x val="0.6233854079410287"/>
          <c:y val="0.27236564941717273"/>
          <c:w val="0.35186844995439398"/>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Largest</a:t>
            </a:r>
            <a:r>
              <a:rPr lang="en-US" baseline="0">
                <a:solidFill>
                  <a:schemeClr val="tx1"/>
                </a:solidFill>
              </a:rPr>
              <a:t> Out Of Tolerance Approach To Trading</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Math'!$J$35:$J$45</c:f>
              <c:numCache>
                <c:formatCode>#,##0.00</c:formatCode>
                <c:ptCount val="11"/>
                <c:pt idx="0">
                  <c:v>-1900</c:v>
                </c:pt>
                <c:pt idx="1">
                  <c:v>-1700</c:v>
                </c:pt>
                <c:pt idx="2">
                  <c:v>-1600</c:v>
                </c:pt>
                <c:pt idx="3">
                  <c:v>-1000</c:v>
                </c:pt>
                <c:pt idx="4">
                  <c:v>-300</c:v>
                </c:pt>
                <c:pt idx="5">
                  <c:v>0</c:v>
                </c:pt>
                <c:pt idx="6">
                  <c:v>400</c:v>
                </c:pt>
                <c:pt idx="7">
                  <c:v>700</c:v>
                </c:pt>
                <c:pt idx="8">
                  <c:v>1700</c:v>
                </c:pt>
                <c:pt idx="9">
                  <c:v>1800</c:v>
                </c:pt>
                <c:pt idx="10">
                  <c:v>1900</c:v>
                </c:pt>
              </c:numCache>
            </c:numRef>
          </c:val>
          <c:extLst>
            <c:ext xmlns:c16="http://schemas.microsoft.com/office/drawing/2014/chart" uri="{C3380CC4-5D6E-409C-BE32-E72D297353CC}">
              <c16:uniqueId val="{00000000-6123-4DD2-898B-CAB3680E185F}"/>
            </c:ext>
          </c:extLst>
        </c:ser>
        <c:ser>
          <c:idx val="1"/>
          <c:order val="1"/>
          <c:tx>
            <c:v>Offage $ After Trades</c:v>
          </c:tx>
          <c:spPr>
            <a:solidFill>
              <a:schemeClr val="accent2"/>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Math'!$U$51:$U$61</c:f>
              <c:numCache>
                <c:formatCode>#,##0.00</c:formatCode>
                <c:ptCount val="11"/>
                <c:pt idx="0">
                  <c:v>-500</c:v>
                </c:pt>
                <c:pt idx="1">
                  <c:v>-500</c:v>
                </c:pt>
                <c:pt idx="2">
                  <c:v>-700</c:v>
                </c:pt>
                <c:pt idx="3">
                  <c:v>-1500</c:v>
                </c:pt>
                <c:pt idx="4">
                  <c:v>-800</c:v>
                </c:pt>
                <c:pt idx="5">
                  <c:v>-500</c:v>
                </c:pt>
                <c:pt idx="6">
                  <c:v>0</c:v>
                </c:pt>
                <c:pt idx="7">
                  <c:v>600</c:v>
                </c:pt>
                <c:pt idx="8">
                  <c:v>1200</c:v>
                </c:pt>
                <c:pt idx="9">
                  <c:v>1300</c:v>
                </c:pt>
                <c:pt idx="10">
                  <c:v>1400</c:v>
                </c:pt>
              </c:numCache>
            </c:numRef>
          </c:val>
          <c:extLst>
            <c:ext xmlns:c16="http://schemas.microsoft.com/office/drawing/2014/chart" uri="{C3380CC4-5D6E-409C-BE32-E72D297353CC}">
              <c16:uniqueId val="{00000001-6123-4DD2-898B-CAB3680E185F}"/>
            </c:ext>
          </c:extLst>
        </c:ser>
        <c:dLbls>
          <c:showLegendKey val="0"/>
          <c:showVal val="0"/>
          <c:showCatName val="0"/>
          <c:showSerName val="0"/>
          <c:showPercent val="0"/>
          <c:showBubbleSize val="0"/>
        </c:dLbls>
        <c:gapWidth val="182"/>
        <c:axId val="738768104"/>
        <c:axId val="404213544"/>
      </c:barChart>
      <c:catAx>
        <c:axId val="738768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04213544"/>
        <c:crosses val="autoZero"/>
        <c:auto val="1"/>
        <c:lblAlgn val="ctr"/>
        <c:lblOffset val="100"/>
        <c:noMultiLvlLbl val="0"/>
      </c:catAx>
      <c:valAx>
        <c:axId val="404213544"/>
        <c:scaling>
          <c:orientation val="minMax"/>
          <c:max val="2000"/>
          <c:min val="-2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38768104"/>
        <c:crosses val="autoZero"/>
        <c:crossBetween val="between"/>
      </c:valAx>
      <c:spPr>
        <a:noFill/>
        <a:ln>
          <a:noFill/>
        </a:ln>
        <a:effectLst/>
      </c:spPr>
    </c:plotArea>
    <c:legend>
      <c:legendPos val="l"/>
      <c:layout>
        <c:manualLayout>
          <c:xMode val="edge"/>
          <c:yMode val="edge"/>
          <c:x val="0.63261876175052589"/>
          <c:y val="0.24249148507599341"/>
          <c:w val="0.33709303624281006"/>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Waterfall</a:t>
            </a:r>
            <a:r>
              <a:rPr lang="en-US" baseline="0">
                <a:solidFill>
                  <a:schemeClr val="tx1"/>
                </a:solidFill>
              </a:rPr>
              <a:t> Approach To Trading</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Math'!$J$35:$J$45</c:f>
              <c:numCache>
                <c:formatCode>#,##0.00</c:formatCode>
                <c:ptCount val="11"/>
                <c:pt idx="0">
                  <c:v>-1900</c:v>
                </c:pt>
                <c:pt idx="1">
                  <c:v>-1700</c:v>
                </c:pt>
                <c:pt idx="2">
                  <c:v>-1600</c:v>
                </c:pt>
                <c:pt idx="3">
                  <c:v>-1000</c:v>
                </c:pt>
                <c:pt idx="4">
                  <c:v>-300</c:v>
                </c:pt>
                <c:pt idx="5">
                  <c:v>0</c:v>
                </c:pt>
                <c:pt idx="6">
                  <c:v>400</c:v>
                </c:pt>
                <c:pt idx="7">
                  <c:v>700</c:v>
                </c:pt>
                <c:pt idx="8">
                  <c:v>1700</c:v>
                </c:pt>
                <c:pt idx="9">
                  <c:v>1800</c:v>
                </c:pt>
                <c:pt idx="10">
                  <c:v>1900</c:v>
                </c:pt>
              </c:numCache>
            </c:numRef>
          </c:val>
          <c:extLst>
            <c:ext xmlns:c16="http://schemas.microsoft.com/office/drawing/2014/chart" uri="{C3380CC4-5D6E-409C-BE32-E72D297353CC}">
              <c16:uniqueId val="{00000000-B10A-451E-9EE7-AE1B107FB6B1}"/>
            </c:ext>
          </c:extLst>
        </c:ser>
        <c:ser>
          <c:idx val="1"/>
          <c:order val="1"/>
          <c:tx>
            <c:v>Offage $ After Trades</c:v>
          </c:tx>
          <c:spPr>
            <a:solidFill>
              <a:schemeClr val="accent2"/>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Math'!$U$67:$U$77</c:f>
              <c:numCache>
                <c:formatCode>#,##0.00</c:formatCode>
                <c:ptCount val="11"/>
                <c:pt idx="0">
                  <c:v>-800</c:v>
                </c:pt>
                <c:pt idx="1">
                  <c:v>-800</c:v>
                </c:pt>
                <c:pt idx="2">
                  <c:v>-800</c:v>
                </c:pt>
                <c:pt idx="3">
                  <c:v>-800</c:v>
                </c:pt>
                <c:pt idx="4">
                  <c:v>-800</c:v>
                </c:pt>
                <c:pt idx="5">
                  <c:v>-500</c:v>
                </c:pt>
                <c:pt idx="6">
                  <c:v>0</c:v>
                </c:pt>
                <c:pt idx="7">
                  <c:v>600</c:v>
                </c:pt>
                <c:pt idx="8">
                  <c:v>1200</c:v>
                </c:pt>
                <c:pt idx="9">
                  <c:v>1300</c:v>
                </c:pt>
                <c:pt idx="10">
                  <c:v>1400</c:v>
                </c:pt>
              </c:numCache>
            </c:numRef>
          </c:val>
          <c:extLst>
            <c:ext xmlns:c16="http://schemas.microsoft.com/office/drawing/2014/chart" uri="{C3380CC4-5D6E-409C-BE32-E72D297353CC}">
              <c16:uniqueId val="{00000001-B10A-451E-9EE7-AE1B107FB6B1}"/>
            </c:ext>
          </c:extLst>
        </c:ser>
        <c:dLbls>
          <c:showLegendKey val="0"/>
          <c:showVal val="0"/>
          <c:showCatName val="0"/>
          <c:showSerName val="0"/>
          <c:showPercent val="0"/>
          <c:showBubbleSize val="0"/>
        </c:dLbls>
        <c:gapWidth val="182"/>
        <c:axId val="558863392"/>
        <c:axId val="558862608"/>
      </c:barChart>
      <c:catAx>
        <c:axId val="558863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58862608"/>
        <c:crosses val="autoZero"/>
        <c:auto val="1"/>
        <c:lblAlgn val="ctr"/>
        <c:lblOffset val="100"/>
        <c:noMultiLvlLbl val="0"/>
      </c:catAx>
      <c:valAx>
        <c:axId val="558862608"/>
        <c:scaling>
          <c:orientation val="minMax"/>
          <c:max val="2000"/>
          <c:min val="-2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558863392"/>
        <c:crosses val="autoZero"/>
        <c:crossBetween val="between"/>
      </c:valAx>
      <c:spPr>
        <a:noFill/>
        <a:ln>
          <a:noFill/>
        </a:ln>
        <a:effectLst/>
      </c:spPr>
    </c:plotArea>
    <c:legend>
      <c:legendPos val="l"/>
      <c:layout>
        <c:manualLayout>
          <c:xMode val="edge"/>
          <c:yMode val="edge"/>
          <c:x val="0.63816082165261256"/>
          <c:y val="0.27504962461087712"/>
          <c:w val="0.33709303624281006"/>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Tracking Error</a:t>
            </a:r>
            <a:r>
              <a:rPr lang="en-US" baseline="0">
                <a:solidFill>
                  <a:schemeClr val="tx1"/>
                </a:solidFill>
              </a:rPr>
              <a:t> Approach To Trading</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Math'!$J$35:$J$45</c:f>
              <c:numCache>
                <c:formatCode>#,##0.00</c:formatCode>
                <c:ptCount val="11"/>
                <c:pt idx="0">
                  <c:v>-1900</c:v>
                </c:pt>
                <c:pt idx="1">
                  <c:v>-1700</c:v>
                </c:pt>
                <c:pt idx="2">
                  <c:v>-1600</c:v>
                </c:pt>
                <c:pt idx="3">
                  <c:v>-1000</c:v>
                </c:pt>
                <c:pt idx="4">
                  <c:v>-300</c:v>
                </c:pt>
                <c:pt idx="5">
                  <c:v>0</c:v>
                </c:pt>
                <c:pt idx="6">
                  <c:v>400</c:v>
                </c:pt>
                <c:pt idx="7">
                  <c:v>700</c:v>
                </c:pt>
                <c:pt idx="8">
                  <c:v>1700</c:v>
                </c:pt>
                <c:pt idx="9">
                  <c:v>1800</c:v>
                </c:pt>
                <c:pt idx="10">
                  <c:v>1900</c:v>
                </c:pt>
              </c:numCache>
            </c:numRef>
          </c:val>
          <c:extLst>
            <c:ext xmlns:c16="http://schemas.microsoft.com/office/drawing/2014/chart" uri="{C3380CC4-5D6E-409C-BE32-E72D297353CC}">
              <c16:uniqueId val="{00000000-387F-43ED-B53D-A5E954B6BF61}"/>
            </c:ext>
          </c:extLst>
        </c:ser>
        <c:ser>
          <c:idx val="1"/>
          <c:order val="1"/>
          <c:tx>
            <c:v>Offage $ After Trades</c:v>
          </c:tx>
          <c:spPr>
            <a:solidFill>
              <a:schemeClr val="accent2"/>
            </a:solidFill>
            <a:ln>
              <a:noFill/>
            </a:ln>
            <a:effectLst/>
          </c:spPr>
          <c:invertIfNegative val="0"/>
          <c:cat>
            <c:strRef>
              <c:f>'Cash Contrib Math'!$B$35:$B$45</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'Cash Contrib Math'!$U$83:$U$93</c:f>
              <c:numCache>
                <c:formatCode>#,##0.00</c:formatCode>
                <c:ptCount val="11"/>
                <c:pt idx="0">
                  <c:v>-175.04000000000087</c:v>
                </c:pt>
                <c:pt idx="1">
                  <c:v>-2097.6100000000006</c:v>
                </c:pt>
                <c:pt idx="2">
                  <c:v>-1303.6100000000006</c:v>
                </c:pt>
                <c:pt idx="3">
                  <c:v>0</c:v>
                </c:pt>
                <c:pt idx="4">
                  <c:v>-800</c:v>
                </c:pt>
                <c:pt idx="5">
                  <c:v>-123.73999999999978</c:v>
                </c:pt>
                <c:pt idx="6">
                  <c:v>0</c:v>
                </c:pt>
                <c:pt idx="7">
                  <c:v>600</c:v>
                </c:pt>
                <c:pt idx="8">
                  <c:v>1200</c:v>
                </c:pt>
                <c:pt idx="9">
                  <c:v>1300</c:v>
                </c:pt>
                <c:pt idx="10">
                  <c:v>1400</c:v>
                </c:pt>
              </c:numCache>
            </c:numRef>
          </c:val>
          <c:extLst>
            <c:ext xmlns:c16="http://schemas.microsoft.com/office/drawing/2014/chart" uri="{C3380CC4-5D6E-409C-BE32-E72D297353CC}">
              <c16:uniqueId val="{00000001-387F-43ED-B53D-A5E954B6BF61}"/>
            </c:ext>
          </c:extLst>
        </c:ser>
        <c:dLbls>
          <c:showLegendKey val="0"/>
          <c:showVal val="0"/>
          <c:showCatName val="0"/>
          <c:showSerName val="0"/>
          <c:showPercent val="0"/>
          <c:showBubbleSize val="0"/>
        </c:dLbls>
        <c:gapWidth val="182"/>
        <c:axId val="558866920"/>
        <c:axId val="558861432"/>
      </c:barChart>
      <c:catAx>
        <c:axId val="558866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58861432"/>
        <c:crosses val="autoZero"/>
        <c:auto val="1"/>
        <c:lblAlgn val="ctr"/>
        <c:lblOffset val="100"/>
        <c:noMultiLvlLbl val="0"/>
      </c:catAx>
      <c:valAx>
        <c:axId val="558861432"/>
        <c:scaling>
          <c:orientation val="minMax"/>
          <c:max val="2000"/>
          <c:min val="-2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558866920"/>
        <c:crosses val="autoZero"/>
        <c:crossBetween val="between"/>
      </c:valAx>
      <c:spPr>
        <a:noFill/>
        <a:ln>
          <a:noFill/>
        </a:ln>
        <a:effectLst/>
      </c:spPr>
    </c:plotArea>
    <c:legend>
      <c:legendPos val="l"/>
      <c:layout>
        <c:manualLayout>
          <c:xMode val="edge"/>
          <c:yMode val="edge"/>
          <c:x val="0.62984773179948239"/>
          <c:y val="0.2691647539469243"/>
          <c:w val="0.33709303624281006"/>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Full Rebalance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Math'!$J$19:$J$29</c:f>
              <c:numCache>
                <c:formatCode>#,##0.00</c:formatCode>
                <c:ptCount val="11"/>
                <c:pt idx="0">
                  <c:v>-2600</c:v>
                </c:pt>
                <c:pt idx="1">
                  <c:v>-2200</c:v>
                </c:pt>
                <c:pt idx="2">
                  <c:v>-1900</c:v>
                </c:pt>
                <c:pt idx="3">
                  <c:v>-600</c:v>
                </c:pt>
                <c:pt idx="4">
                  <c:v>-300</c:v>
                </c:pt>
                <c:pt idx="5">
                  <c:v>0</c:v>
                </c:pt>
                <c:pt idx="6">
                  <c:v>400</c:v>
                </c:pt>
                <c:pt idx="7">
                  <c:v>1000</c:v>
                </c:pt>
                <c:pt idx="8">
                  <c:v>1800</c:v>
                </c:pt>
                <c:pt idx="9">
                  <c:v>1900</c:v>
                </c:pt>
                <c:pt idx="10">
                  <c:v>2500</c:v>
                </c:pt>
              </c:numCache>
            </c:numRef>
          </c:val>
          <c:extLst>
            <c:ext xmlns:c16="http://schemas.microsoft.com/office/drawing/2014/chart" uri="{C3380CC4-5D6E-409C-BE32-E72D297353CC}">
              <c16:uniqueId val="{00000000-09A2-4036-AE39-2E3C03E02B5A}"/>
            </c:ext>
          </c:extLst>
        </c:ser>
        <c:ser>
          <c:idx val="1"/>
          <c:order val="1"/>
          <c:tx>
            <c:v>Offage $ After Trades</c:v>
          </c:tx>
          <c:spPr>
            <a:solidFill>
              <a:schemeClr val="accent2"/>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Math'!$U$19:$U$29</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9A2-4036-AE39-2E3C03E02B5A}"/>
            </c:ext>
          </c:extLst>
        </c:ser>
        <c:dLbls>
          <c:showLegendKey val="0"/>
          <c:showVal val="0"/>
          <c:showCatName val="0"/>
          <c:showSerName val="0"/>
          <c:showPercent val="0"/>
          <c:showBubbleSize val="0"/>
        </c:dLbls>
        <c:gapWidth val="182"/>
        <c:axId val="865175880"/>
        <c:axId val="865175488"/>
      </c:barChart>
      <c:catAx>
        <c:axId val="865175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5175488"/>
        <c:crosses val="autoZero"/>
        <c:auto val="1"/>
        <c:lblAlgn val="ctr"/>
        <c:lblOffset val="100"/>
        <c:noMultiLvlLbl val="0"/>
      </c:catAx>
      <c:valAx>
        <c:axId val="865175488"/>
        <c:scaling>
          <c:orientation val="minMax"/>
          <c:max val="3000"/>
          <c:min val="-3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5175880"/>
        <c:crosses val="autoZero"/>
        <c:crossBetween val="between"/>
      </c:valAx>
      <c:spPr>
        <a:noFill/>
        <a:ln>
          <a:noFill/>
        </a:ln>
        <a:effectLst/>
      </c:spPr>
    </c:plotArea>
    <c:legend>
      <c:legendPos val="l"/>
      <c:layout>
        <c:manualLayout>
          <c:xMode val="edge"/>
          <c:yMode val="edge"/>
          <c:x val="0.59228316230144928"/>
          <c:y val="0.25602249529414883"/>
          <c:w val="0.3252378887453774"/>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Trade</a:t>
            </a:r>
            <a:r>
              <a:rPr lang="en-US" baseline="0">
                <a:solidFill>
                  <a:schemeClr val="tx1"/>
                </a:solidFill>
              </a:rPr>
              <a:t> Only Out Of B</a:t>
            </a:r>
            <a:r>
              <a:rPr lang="en-US">
                <a:solidFill>
                  <a:schemeClr val="tx1"/>
                </a:solidFill>
              </a:rPr>
              <a:t>alance Securities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Math'!$J$19:$J$29</c:f>
              <c:numCache>
                <c:formatCode>#,##0.00</c:formatCode>
                <c:ptCount val="11"/>
                <c:pt idx="0">
                  <c:v>-2600</c:v>
                </c:pt>
                <c:pt idx="1">
                  <c:v>-2200</c:v>
                </c:pt>
                <c:pt idx="2">
                  <c:v>-1900</c:v>
                </c:pt>
                <c:pt idx="3">
                  <c:v>-600</c:v>
                </c:pt>
                <c:pt idx="4">
                  <c:v>-300</c:v>
                </c:pt>
                <c:pt idx="5">
                  <c:v>0</c:v>
                </c:pt>
                <c:pt idx="6">
                  <c:v>400</c:v>
                </c:pt>
                <c:pt idx="7">
                  <c:v>1000</c:v>
                </c:pt>
                <c:pt idx="8">
                  <c:v>1800</c:v>
                </c:pt>
                <c:pt idx="9">
                  <c:v>1900</c:v>
                </c:pt>
                <c:pt idx="10">
                  <c:v>2500</c:v>
                </c:pt>
              </c:numCache>
            </c:numRef>
          </c:val>
          <c:extLst>
            <c:ext xmlns:c16="http://schemas.microsoft.com/office/drawing/2014/chart" uri="{C3380CC4-5D6E-409C-BE32-E72D297353CC}">
              <c16:uniqueId val="{00000000-9965-4A7D-9017-DCE0AFCA3AB4}"/>
            </c:ext>
          </c:extLst>
        </c:ser>
        <c:ser>
          <c:idx val="1"/>
          <c:order val="1"/>
          <c:tx>
            <c:v>Offage $ After Trades</c:v>
          </c:tx>
          <c:spPr>
            <a:solidFill>
              <a:schemeClr val="accent2"/>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Math'!$U$35:$U$45</c:f>
              <c:numCache>
                <c:formatCode>#,##0.00</c:formatCode>
                <c:ptCount val="11"/>
                <c:pt idx="0">
                  <c:v>-2000</c:v>
                </c:pt>
                <c:pt idx="1">
                  <c:v>-2000</c:v>
                </c:pt>
                <c:pt idx="2">
                  <c:v>-1900</c:v>
                </c:pt>
                <c:pt idx="3">
                  <c:v>-600</c:v>
                </c:pt>
                <c:pt idx="4">
                  <c:v>-300</c:v>
                </c:pt>
                <c:pt idx="5">
                  <c:v>0</c:v>
                </c:pt>
                <c:pt idx="6">
                  <c:v>400</c:v>
                </c:pt>
                <c:pt idx="7">
                  <c:v>700</c:v>
                </c:pt>
                <c:pt idx="8">
                  <c:v>1800</c:v>
                </c:pt>
                <c:pt idx="9">
                  <c:v>1900</c:v>
                </c:pt>
                <c:pt idx="10">
                  <c:v>2000</c:v>
                </c:pt>
              </c:numCache>
            </c:numRef>
          </c:val>
          <c:extLst>
            <c:ext xmlns:c16="http://schemas.microsoft.com/office/drawing/2014/chart" uri="{C3380CC4-5D6E-409C-BE32-E72D297353CC}">
              <c16:uniqueId val="{00000001-9965-4A7D-9017-DCE0AFCA3AB4}"/>
            </c:ext>
          </c:extLst>
        </c:ser>
        <c:dLbls>
          <c:showLegendKey val="0"/>
          <c:showVal val="0"/>
          <c:showCatName val="0"/>
          <c:showSerName val="0"/>
          <c:showPercent val="0"/>
          <c:showBubbleSize val="0"/>
        </c:dLbls>
        <c:gapWidth val="182"/>
        <c:axId val="865176272"/>
        <c:axId val="865178232"/>
      </c:barChart>
      <c:catAx>
        <c:axId val="865176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5178232"/>
        <c:crosses val="autoZero"/>
        <c:auto val="1"/>
        <c:lblAlgn val="ctr"/>
        <c:lblOffset val="100"/>
        <c:noMultiLvlLbl val="0"/>
      </c:catAx>
      <c:valAx>
        <c:axId val="865178232"/>
        <c:scaling>
          <c:orientation val="minMax"/>
          <c:max val="3000"/>
          <c:min val="-3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5176272"/>
        <c:crosses val="autoZero"/>
        <c:crossBetween val="between"/>
      </c:valAx>
      <c:spPr>
        <a:noFill/>
        <a:ln>
          <a:noFill/>
        </a:ln>
        <a:effectLst/>
      </c:spPr>
    </c:plotArea>
    <c:legend>
      <c:legendPos val="l"/>
      <c:layout>
        <c:manualLayout>
          <c:xMode val="edge"/>
          <c:yMode val="edge"/>
          <c:x val="0.6072825054553106"/>
          <c:y val="0.24881889763779524"/>
          <c:w val="0.31933208629446935"/>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Trade 30% Into Target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Math'!$J$19:$J$29</c:f>
              <c:numCache>
                <c:formatCode>#,##0.00</c:formatCode>
                <c:ptCount val="11"/>
                <c:pt idx="0">
                  <c:v>-2600</c:v>
                </c:pt>
                <c:pt idx="1">
                  <c:v>-2200</c:v>
                </c:pt>
                <c:pt idx="2">
                  <c:v>-1900</c:v>
                </c:pt>
                <c:pt idx="3">
                  <c:v>-600</c:v>
                </c:pt>
                <c:pt idx="4">
                  <c:v>-300</c:v>
                </c:pt>
                <c:pt idx="5">
                  <c:v>0</c:v>
                </c:pt>
                <c:pt idx="6">
                  <c:v>400</c:v>
                </c:pt>
                <c:pt idx="7">
                  <c:v>1000</c:v>
                </c:pt>
                <c:pt idx="8">
                  <c:v>1800</c:v>
                </c:pt>
                <c:pt idx="9">
                  <c:v>1900</c:v>
                </c:pt>
                <c:pt idx="10">
                  <c:v>2500</c:v>
                </c:pt>
              </c:numCache>
            </c:numRef>
          </c:val>
          <c:extLst>
            <c:ext xmlns:c16="http://schemas.microsoft.com/office/drawing/2014/chart" uri="{C3380CC4-5D6E-409C-BE32-E72D297353CC}">
              <c16:uniqueId val="{00000000-ABEF-4705-BFBA-351EA5700D65}"/>
            </c:ext>
          </c:extLst>
        </c:ser>
        <c:ser>
          <c:idx val="1"/>
          <c:order val="1"/>
          <c:tx>
            <c:v>Offage $ After Trades</c:v>
          </c:tx>
          <c:spPr>
            <a:solidFill>
              <a:schemeClr val="accent2"/>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Math'!$U$51:$U$61</c:f>
              <c:numCache>
                <c:formatCode>#,##0.00</c:formatCode>
                <c:ptCount val="11"/>
                <c:pt idx="0">
                  <c:v>-1400</c:v>
                </c:pt>
                <c:pt idx="1">
                  <c:v>-1400</c:v>
                </c:pt>
                <c:pt idx="2">
                  <c:v>-1400</c:v>
                </c:pt>
                <c:pt idx="3">
                  <c:v>-600</c:v>
                </c:pt>
                <c:pt idx="4">
                  <c:v>-300</c:v>
                </c:pt>
                <c:pt idx="5">
                  <c:v>0</c:v>
                </c:pt>
                <c:pt idx="6">
                  <c:v>400</c:v>
                </c:pt>
                <c:pt idx="7">
                  <c:v>500</c:v>
                </c:pt>
                <c:pt idx="8">
                  <c:v>1400</c:v>
                </c:pt>
                <c:pt idx="9">
                  <c:v>1400</c:v>
                </c:pt>
                <c:pt idx="10">
                  <c:v>1400</c:v>
                </c:pt>
              </c:numCache>
            </c:numRef>
          </c:val>
          <c:extLst>
            <c:ext xmlns:c16="http://schemas.microsoft.com/office/drawing/2014/chart" uri="{C3380CC4-5D6E-409C-BE32-E72D297353CC}">
              <c16:uniqueId val="{00000001-ABEF-4705-BFBA-351EA5700D65}"/>
            </c:ext>
          </c:extLst>
        </c:ser>
        <c:dLbls>
          <c:showLegendKey val="0"/>
          <c:showVal val="0"/>
          <c:showCatName val="0"/>
          <c:showSerName val="0"/>
          <c:showPercent val="0"/>
          <c:showBubbleSize val="0"/>
        </c:dLbls>
        <c:gapWidth val="182"/>
        <c:axId val="865174704"/>
        <c:axId val="865173528"/>
      </c:barChart>
      <c:catAx>
        <c:axId val="865174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5173528"/>
        <c:crosses val="autoZero"/>
        <c:auto val="1"/>
        <c:lblAlgn val="ctr"/>
        <c:lblOffset val="100"/>
        <c:noMultiLvlLbl val="0"/>
      </c:catAx>
      <c:valAx>
        <c:axId val="865173528"/>
        <c:scaling>
          <c:orientation val="minMax"/>
          <c:max val="3000"/>
          <c:min val="-3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5174704"/>
        <c:crosses val="autoZero"/>
        <c:crossBetween val="between"/>
      </c:valAx>
      <c:spPr>
        <a:noFill/>
        <a:ln>
          <a:noFill/>
        </a:ln>
        <a:effectLst/>
      </c:spPr>
    </c:plotArea>
    <c:legend>
      <c:legendPos val="l"/>
      <c:layout>
        <c:manualLayout>
          <c:xMode val="edge"/>
          <c:yMode val="edge"/>
          <c:x val="0.60617202858501396"/>
          <c:y val="0.25594395397544994"/>
          <c:w val="0.31047338261810736"/>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Tracking Error</a:t>
            </a:r>
            <a:r>
              <a:rPr lang="en-US" baseline="0">
                <a:solidFill>
                  <a:schemeClr val="tx1"/>
                </a:solidFill>
              </a:rPr>
              <a:t> Approach To Trading</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45255905511811E-2"/>
          <c:y val="0.21131090124988397"/>
          <c:w val="0.88636329833770788"/>
          <c:h val="0.74152939885729718"/>
        </c:manualLayout>
      </c:layout>
      <c:barChart>
        <c:barDir val="bar"/>
        <c:grouping val="clustered"/>
        <c:varyColors val="0"/>
        <c:ser>
          <c:idx val="0"/>
          <c:order val="0"/>
          <c:tx>
            <c:v>Offage $ Before Trades</c:v>
          </c:tx>
          <c:spPr>
            <a:solidFill>
              <a:schemeClr val="accent1"/>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Math'!$J$19:$J$29</c:f>
              <c:numCache>
                <c:formatCode>#,##0.00</c:formatCode>
                <c:ptCount val="11"/>
                <c:pt idx="0">
                  <c:v>-2600</c:v>
                </c:pt>
                <c:pt idx="1">
                  <c:v>-2200</c:v>
                </c:pt>
                <c:pt idx="2">
                  <c:v>-1900</c:v>
                </c:pt>
                <c:pt idx="3">
                  <c:v>-600</c:v>
                </c:pt>
                <c:pt idx="4">
                  <c:v>-300</c:v>
                </c:pt>
                <c:pt idx="5">
                  <c:v>0</c:v>
                </c:pt>
                <c:pt idx="6">
                  <c:v>400</c:v>
                </c:pt>
                <c:pt idx="7">
                  <c:v>1000</c:v>
                </c:pt>
                <c:pt idx="8">
                  <c:v>1800</c:v>
                </c:pt>
                <c:pt idx="9">
                  <c:v>1900</c:v>
                </c:pt>
                <c:pt idx="10">
                  <c:v>2500</c:v>
                </c:pt>
              </c:numCache>
            </c:numRef>
          </c:val>
          <c:extLst>
            <c:ext xmlns:c16="http://schemas.microsoft.com/office/drawing/2014/chart" uri="{C3380CC4-5D6E-409C-BE32-E72D297353CC}">
              <c16:uniqueId val="{00000000-6800-4E9A-B700-B697D0DBC032}"/>
            </c:ext>
          </c:extLst>
        </c:ser>
        <c:ser>
          <c:idx val="1"/>
          <c:order val="1"/>
          <c:tx>
            <c:v>Offage $ After Trades</c:v>
          </c:tx>
          <c:spPr>
            <a:solidFill>
              <a:schemeClr val="accent2"/>
            </a:solidFill>
            <a:ln>
              <a:noFill/>
            </a:ln>
            <a:effectLst/>
          </c:spPr>
          <c:invertIfNegative val="0"/>
          <c:cat>
            <c:strRef>
              <c:f>'OOT Trade Math'!$B$19:$B$29</c:f>
              <c:strCache>
                <c:ptCount val="11"/>
                <c:pt idx="0">
                  <c:v>JPMorgan Chase &amp; Co</c:v>
                </c:pt>
                <c:pt idx="1">
                  <c:v>Microsoft Corporation</c:v>
                </c:pt>
                <c:pt idx="2">
                  <c:v>Walmart</c:v>
                </c:pt>
                <c:pt idx="3">
                  <c:v>iShares MBS ETF</c:v>
                </c:pt>
                <c:pt idx="4">
                  <c:v>Vanguard Interm Corp Bd ETF</c:v>
                </c:pt>
                <c:pt idx="5">
                  <c:v>Exxon Mobile Corporation</c:v>
                </c:pt>
                <c:pt idx="6">
                  <c:v>SPDR® Port Interm Treas ETF</c:v>
                </c:pt>
                <c:pt idx="7">
                  <c:v>Cash</c:v>
                </c:pt>
                <c:pt idx="8">
                  <c:v>Amazon</c:v>
                </c:pt>
                <c:pt idx="9">
                  <c:v>Tesla</c:v>
                </c:pt>
                <c:pt idx="10">
                  <c:v>CVS Health Corporation</c:v>
                </c:pt>
              </c:strCache>
            </c:strRef>
          </c:cat>
          <c:val>
            <c:numRef>
              <c:f>'OOT Trade Math'!$U$67:$U$77</c:f>
              <c:numCache>
                <c:formatCode>#,##0.00</c:formatCode>
                <c:ptCount val="11"/>
                <c:pt idx="0">
                  <c:v>-2000</c:v>
                </c:pt>
                <c:pt idx="1">
                  <c:v>0</c:v>
                </c:pt>
                <c:pt idx="2">
                  <c:v>-1900</c:v>
                </c:pt>
                <c:pt idx="3">
                  <c:v>-396.17000000000007</c:v>
                </c:pt>
                <c:pt idx="4">
                  <c:v>-300</c:v>
                </c:pt>
                <c:pt idx="5">
                  <c:v>0</c:v>
                </c:pt>
                <c:pt idx="6">
                  <c:v>550.10000000000036</c:v>
                </c:pt>
                <c:pt idx="7">
                  <c:v>138.32999999999993</c:v>
                </c:pt>
                <c:pt idx="8">
                  <c:v>0</c:v>
                </c:pt>
                <c:pt idx="9">
                  <c:v>1907.7399999999998</c:v>
                </c:pt>
                <c:pt idx="10">
                  <c:v>2000</c:v>
                </c:pt>
              </c:numCache>
            </c:numRef>
          </c:val>
          <c:extLst>
            <c:ext xmlns:c16="http://schemas.microsoft.com/office/drawing/2014/chart" uri="{C3380CC4-5D6E-409C-BE32-E72D297353CC}">
              <c16:uniqueId val="{00000001-6800-4E9A-B700-B697D0DBC032}"/>
            </c:ext>
          </c:extLst>
        </c:ser>
        <c:dLbls>
          <c:showLegendKey val="0"/>
          <c:showVal val="0"/>
          <c:showCatName val="0"/>
          <c:showSerName val="0"/>
          <c:showPercent val="0"/>
          <c:showBubbleSize val="0"/>
        </c:dLbls>
        <c:gapWidth val="182"/>
        <c:axId val="865177056"/>
        <c:axId val="865175096"/>
      </c:barChart>
      <c:catAx>
        <c:axId val="865177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5175096"/>
        <c:crosses val="autoZero"/>
        <c:auto val="1"/>
        <c:lblAlgn val="ctr"/>
        <c:lblOffset val="100"/>
        <c:noMultiLvlLbl val="0"/>
      </c:catAx>
      <c:valAx>
        <c:axId val="865175096"/>
        <c:scaling>
          <c:orientation val="minMax"/>
          <c:max val="3000"/>
          <c:min val="-3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865177056"/>
        <c:crosses val="autoZero"/>
        <c:crossBetween val="between"/>
      </c:valAx>
      <c:spPr>
        <a:noFill/>
        <a:ln>
          <a:noFill/>
        </a:ln>
        <a:effectLst/>
      </c:spPr>
    </c:plotArea>
    <c:legend>
      <c:legendPos val="l"/>
      <c:layout>
        <c:manualLayout>
          <c:xMode val="edge"/>
          <c:yMode val="edge"/>
          <c:x val="0.58660730398497618"/>
          <c:y val="0.23910893714043316"/>
          <c:w val="0.32826507362315338"/>
          <c:h val="0.14469554649720234"/>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27</xdr:col>
      <xdr:colOff>106362</xdr:colOff>
      <xdr:row>33</xdr:row>
      <xdr:rowOff>26986</xdr:rowOff>
    </xdr:from>
    <xdr:to>
      <xdr:col>34</xdr:col>
      <xdr:colOff>125729</xdr:colOff>
      <xdr:row>48</xdr:row>
      <xdr:rowOff>44131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122237</xdr:colOff>
      <xdr:row>48</xdr:row>
      <xdr:rowOff>176212</xdr:rowOff>
    </xdr:from>
    <xdr:to>
      <xdr:col>34</xdr:col>
      <xdr:colOff>141604</xdr:colOff>
      <xdr:row>64</xdr:row>
      <xdr:rowOff>10795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115887</xdr:colOff>
      <xdr:row>64</xdr:row>
      <xdr:rowOff>161925</xdr:rowOff>
    </xdr:from>
    <xdr:to>
      <xdr:col>34</xdr:col>
      <xdr:colOff>135254</xdr:colOff>
      <xdr:row>80</xdr:row>
      <xdr:rowOff>2857</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57150</xdr:colOff>
      <xdr:row>81</xdr:row>
      <xdr:rowOff>133349</xdr:rowOff>
    </xdr:from>
    <xdr:to>
      <xdr:col>34</xdr:col>
      <xdr:colOff>76517</xdr:colOff>
      <xdr:row>96</xdr:row>
      <xdr:rowOff>150494</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104775</xdr:colOff>
      <xdr:row>17</xdr:row>
      <xdr:rowOff>161923</xdr:rowOff>
    </xdr:from>
    <xdr:to>
      <xdr:col>33</xdr:col>
      <xdr:colOff>135255</xdr:colOff>
      <xdr:row>33</xdr:row>
      <xdr:rowOff>20318</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85725</xdr:colOff>
      <xdr:row>33</xdr:row>
      <xdr:rowOff>57149</xdr:rowOff>
    </xdr:from>
    <xdr:to>
      <xdr:col>33</xdr:col>
      <xdr:colOff>116205</xdr:colOff>
      <xdr:row>48</xdr:row>
      <xdr:rowOff>93344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47625</xdr:colOff>
      <xdr:row>49</xdr:row>
      <xdr:rowOff>85724</xdr:rowOff>
    </xdr:from>
    <xdr:to>
      <xdr:col>33</xdr:col>
      <xdr:colOff>78105</xdr:colOff>
      <xdr:row>64</xdr:row>
      <xdr:rowOff>121919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57150</xdr:colOff>
      <xdr:row>65</xdr:row>
      <xdr:rowOff>133350</xdr:rowOff>
    </xdr:from>
    <xdr:to>
      <xdr:col>33</xdr:col>
      <xdr:colOff>87630</xdr:colOff>
      <xdr:row>80</xdr:row>
      <xdr:rowOff>169545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142875</xdr:colOff>
      <xdr:row>3</xdr:row>
      <xdr:rowOff>142875</xdr:rowOff>
    </xdr:from>
    <xdr:to>
      <xdr:col>7</xdr:col>
      <xdr:colOff>895350</xdr:colOff>
      <xdr:row>10</xdr:row>
      <xdr:rowOff>57150</xdr:rowOff>
    </xdr:to>
    <xdr:sp macro="" textlink="">
      <xdr:nvSpPr>
        <xdr:cNvPr id="2" name="Arrow: Right 1">
          <a:extLst>
            <a:ext uri="{FF2B5EF4-FFF2-40B4-BE49-F238E27FC236}">
              <a16:creationId xmlns:a16="http://schemas.microsoft.com/office/drawing/2014/main" id="{2B8699B7-E8DB-4809-B1A2-7A29E7B67BA7}"/>
            </a:ext>
          </a:extLst>
        </xdr:cNvPr>
        <xdr:cNvSpPr/>
      </xdr:nvSpPr>
      <xdr:spPr>
        <a:xfrm>
          <a:off x="6496050" y="1066800"/>
          <a:ext cx="752475" cy="1181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14D0-9358-4DDD-B733-A4BEACBE5BB1}">
  <dimension ref="A1:B59"/>
  <sheetViews>
    <sheetView tabSelected="1" workbookViewId="0"/>
  </sheetViews>
  <sheetFormatPr defaultRowHeight="14.5" x14ac:dyDescent="0.35"/>
  <sheetData>
    <row r="1" spans="1:2" x14ac:dyDescent="0.35">
      <c r="A1" t="s">
        <v>162</v>
      </c>
    </row>
    <row r="3" spans="1:2" x14ac:dyDescent="0.35">
      <c r="A3" t="s">
        <v>175</v>
      </c>
    </row>
    <row r="5" spans="1:2" x14ac:dyDescent="0.35">
      <c r="A5" t="s">
        <v>168</v>
      </c>
    </row>
    <row r="7" spans="1:2" x14ac:dyDescent="0.35">
      <c r="A7" s="5" t="s">
        <v>167</v>
      </c>
    </row>
    <row r="8" spans="1:2" x14ac:dyDescent="0.35">
      <c r="A8" s="166" t="s">
        <v>163</v>
      </c>
      <c r="B8" s="166"/>
    </row>
    <row r="9" spans="1:2" x14ac:dyDescent="0.35">
      <c r="A9" s="166" t="s">
        <v>164</v>
      </c>
      <c r="B9" s="166"/>
    </row>
    <row r="10" spans="1:2" x14ac:dyDescent="0.35">
      <c r="A10" s="166" t="s">
        <v>165</v>
      </c>
      <c r="B10" s="166"/>
    </row>
    <row r="11" spans="1:2" x14ac:dyDescent="0.35">
      <c r="A11" s="166" t="s">
        <v>166</v>
      </c>
      <c r="B11" s="166"/>
    </row>
    <row r="12" spans="1:2" x14ac:dyDescent="0.35">
      <c r="A12" s="166" t="s">
        <v>169</v>
      </c>
      <c r="B12" s="166"/>
    </row>
    <row r="13" spans="1:2" x14ac:dyDescent="0.35">
      <c r="A13" s="166" t="s">
        <v>170</v>
      </c>
      <c r="B13" s="166"/>
    </row>
    <row r="14" spans="1:2" x14ac:dyDescent="0.35">
      <c r="A14" s="166" t="s">
        <v>171</v>
      </c>
      <c r="B14" s="166"/>
    </row>
    <row r="15" spans="1:2" x14ac:dyDescent="0.35">
      <c r="A15" s="166"/>
      <c r="B15" s="166"/>
    </row>
    <row r="16" spans="1:2" x14ac:dyDescent="0.35">
      <c r="A16" s="166"/>
      <c r="B16" s="166"/>
    </row>
    <row r="17" spans="1:2" x14ac:dyDescent="0.35">
      <c r="A17" s="166"/>
      <c r="B17" s="166"/>
    </row>
    <row r="18" spans="1:2" x14ac:dyDescent="0.35">
      <c r="A18" s="166"/>
      <c r="B18" s="166"/>
    </row>
    <row r="19" spans="1:2" x14ac:dyDescent="0.35">
      <c r="A19" s="166"/>
      <c r="B19" s="166"/>
    </row>
    <row r="20" spans="1:2" x14ac:dyDescent="0.35">
      <c r="A20" s="166"/>
      <c r="B20" s="166"/>
    </row>
    <row r="21" spans="1:2" x14ac:dyDescent="0.35">
      <c r="A21" s="166"/>
      <c r="B21" s="166"/>
    </row>
    <row r="22" spans="1:2" x14ac:dyDescent="0.35">
      <c r="A22" s="166"/>
      <c r="B22" s="166"/>
    </row>
    <row r="23" spans="1:2" x14ac:dyDescent="0.35">
      <c r="A23" s="166"/>
      <c r="B23" s="166"/>
    </row>
    <row r="24" spans="1:2" x14ac:dyDescent="0.35">
      <c r="A24" s="166"/>
      <c r="B24" s="166"/>
    </row>
    <row r="25" spans="1:2" x14ac:dyDescent="0.35">
      <c r="A25" s="166"/>
      <c r="B25" s="166"/>
    </row>
    <row r="26" spans="1:2" x14ac:dyDescent="0.35">
      <c r="A26" s="166"/>
      <c r="B26" s="166"/>
    </row>
    <row r="27" spans="1:2" x14ac:dyDescent="0.35">
      <c r="A27" s="166"/>
      <c r="B27" s="166"/>
    </row>
    <row r="28" spans="1:2" x14ac:dyDescent="0.35">
      <c r="A28" s="166"/>
      <c r="B28" s="166"/>
    </row>
    <row r="29" spans="1:2" x14ac:dyDescent="0.35">
      <c r="A29" s="166"/>
      <c r="B29" s="166"/>
    </row>
    <row r="30" spans="1:2" x14ac:dyDescent="0.35">
      <c r="A30" s="166"/>
      <c r="B30" s="166"/>
    </row>
    <row r="31" spans="1:2" x14ac:dyDescent="0.35">
      <c r="A31" s="166"/>
      <c r="B31" s="166"/>
    </row>
    <row r="32" spans="1:2" x14ac:dyDescent="0.35">
      <c r="A32" s="166"/>
      <c r="B32" s="166"/>
    </row>
    <row r="33" spans="1:2" x14ac:dyDescent="0.35">
      <c r="A33" s="166"/>
      <c r="B33" s="166"/>
    </row>
    <row r="34" spans="1:2" x14ac:dyDescent="0.35">
      <c r="A34" s="166"/>
      <c r="B34" s="166"/>
    </row>
    <row r="35" spans="1:2" x14ac:dyDescent="0.35">
      <c r="A35" s="166"/>
      <c r="B35" s="166"/>
    </row>
    <row r="36" spans="1:2" x14ac:dyDescent="0.35">
      <c r="A36" s="166"/>
      <c r="B36" s="166"/>
    </row>
    <row r="37" spans="1:2" x14ac:dyDescent="0.35">
      <c r="A37" s="166"/>
      <c r="B37" s="166"/>
    </row>
    <row r="38" spans="1:2" x14ac:dyDescent="0.35">
      <c r="A38" s="166"/>
      <c r="B38" s="166"/>
    </row>
    <row r="39" spans="1:2" x14ac:dyDescent="0.35">
      <c r="A39" s="166"/>
      <c r="B39" s="166"/>
    </row>
    <row r="40" spans="1:2" x14ac:dyDescent="0.35">
      <c r="A40" s="166"/>
      <c r="B40" s="166"/>
    </row>
    <row r="41" spans="1:2" x14ac:dyDescent="0.35">
      <c r="A41" s="166"/>
      <c r="B41" s="166"/>
    </row>
    <row r="42" spans="1:2" x14ac:dyDescent="0.35">
      <c r="A42" s="166"/>
      <c r="B42" s="166"/>
    </row>
    <row r="43" spans="1:2" x14ac:dyDescent="0.35">
      <c r="A43" s="166"/>
      <c r="B43" s="166"/>
    </row>
    <row r="44" spans="1:2" x14ac:dyDescent="0.35">
      <c r="A44" s="166"/>
      <c r="B44" s="166"/>
    </row>
    <row r="45" spans="1:2" x14ac:dyDescent="0.35">
      <c r="A45" s="166"/>
      <c r="B45" s="166"/>
    </row>
    <row r="46" spans="1:2" x14ac:dyDescent="0.35">
      <c r="A46" s="166"/>
      <c r="B46" s="166"/>
    </row>
    <row r="47" spans="1:2" x14ac:dyDescent="0.35">
      <c r="A47" s="166"/>
      <c r="B47" s="166"/>
    </row>
    <row r="48" spans="1:2" x14ac:dyDescent="0.35">
      <c r="A48" s="166"/>
      <c r="B48" s="166"/>
    </row>
    <row r="49" spans="1:2" x14ac:dyDescent="0.35">
      <c r="A49" s="166"/>
      <c r="B49" s="166"/>
    </row>
    <row r="50" spans="1:2" x14ac:dyDescent="0.35">
      <c r="A50" s="166"/>
      <c r="B50" s="166"/>
    </row>
    <row r="51" spans="1:2" x14ac:dyDescent="0.35">
      <c r="A51" s="166"/>
      <c r="B51" s="166"/>
    </row>
    <row r="52" spans="1:2" x14ac:dyDescent="0.35">
      <c r="A52" s="166"/>
      <c r="B52" s="166"/>
    </row>
    <row r="53" spans="1:2" x14ac:dyDescent="0.35">
      <c r="A53" s="166"/>
      <c r="B53" s="166"/>
    </row>
    <row r="54" spans="1:2" x14ac:dyDescent="0.35">
      <c r="A54" s="166"/>
      <c r="B54" s="166"/>
    </row>
    <row r="55" spans="1:2" x14ac:dyDescent="0.35">
      <c r="A55" s="166"/>
      <c r="B55" s="166"/>
    </row>
    <row r="56" spans="1:2" x14ac:dyDescent="0.35">
      <c r="A56" s="166"/>
      <c r="B56" s="166"/>
    </row>
    <row r="57" spans="1:2" x14ac:dyDescent="0.35">
      <c r="A57" s="166"/>
      <c r="B57" s="166"/>
    </row>
    <row r="58" spans="1:2" x14ac:dyDescent="0.35">
      <c r="A58" s="166"/>
      <c r="B58" s="166"/>
    </row>
    <row r="59" spans="1:2" x14ac:dyDescent="0.35">
      <c r="A59" s="166"/>
      <c r="B59" s="16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1"/>
  <sheetViews>
    <sheetView workbookViewId="0">
      <selection activeCell="B1" sqref="B1"/>
    </sheetView>
  </sheetViews>
  <sheetFormatPr defaultRowHeight="14.5" x14ac:dyDescent="0.35"/>
  <cols>
    <col min="2" max="2" width="22.453125" customWidth="1"/>
    <col min="6" max="6" width="33.54296875" bestFit="1" customWidth="1"/>
    <col min="9" max="9" width="10.7265625" style="1" customWidth="1"/>
    <col min="10" max="10" width="9.7265625" style="1" customWidth="1"/>
    <col min="11" max="11" width="9.7265625" customWidth="1"/>
    <col min="12" max="12" width="10.7265625" customWidth="1"/>
    <col min="13" max="13" width="9.7265625" style="1" customWidth="1"/>
    <col min="14" max="16" width="10.7265625" style="1" customWidth="1"/>
    <col min="17" max="18" width="9.7265625" customWidth="1"/>
  </cols>
  <sheetData>
    <row r="1" spans="2:20" x14ac:dyDescent="0.35">
      <c r="B1" s="6" t="s">
        <v>34</v>
      </c>
    </row>
    <row r="2" spans="2:20" s="17" customFormat="1" ht="32.15" customHeight="1" x14ac:dyDescent="0.35">
      <c r="B2" s="17" t="s">
        <v>0</v>
      </c>
      <c r="F2" s="21" t="s">
        <v>22</v>
      </c>
      <c r="G2" s="22" t="s">
        <v>23</v>
      </c>
      <c r="H2" s="22" t="s">
        <v>24</v>
      </c>
      <c r="I2" s="22" t="s">
        <v>29</v>
      </c>
      <c r="J2" s="22" t="s">
        <v>30</v>
      </c>
      <c r="K2" s="23" t="s">
        <v>27</v>
      </c>
      <c r="L2" s="23" t="s">
        <v>28</v>
      </c>
      <c r="M2" s="24" t="s">
        <v>31</v>
      </c>
      <c r="N2" s="24" t="s">
        <v>32</v>
      </c>
      <c r="O2" s="25" t="s">
        <v>41</v>
      </c>
      <c r="P2" s="25" t="s">
        <v>40</v>
      </c>
      <c r="Q2" s="23" t="s">
        <v>43</v>
      </c>
      <c r="R2" s="23" t="s">
        <v>44</v>
      </c>
      <c r="S2" s="25" t="s">
        <v>45</v>
      </c>
      <c r="T2" s="25" t="s">
        <v>46</v>
      </c>
    </row>
    <row r="3" spans="2:20" x14ac:dyDescent="0.35">
      <c r="B3" t="s">
        <v>1</v>
      </c>
      <c r="F3" t="s">
        <v>16</v>
      </c>
      <c r="G3" s="1" t="s">
        <v>4</v>
      </c>
      <c r="H3" s="1">
        <v>255.29</v>
      </c>
      <c r="I3" s="7">
        <v>8500</v>
      </c>
      <c r="J3" s="2">
        <f t="shared" ref="J3:J12" si="0">I3/$I$14</f>
        <v>8.424182358771061E-2</v>
      </c>
      <c r="K3" s="14">
        <v>0.1</v>
      </c>
      <c r="L3" s="15">
        <f t="shared" ref="L3:L12" si="1">$I$14*K3</f>
        <v>10090</v>
      </c>
      <c r="M3" s="11">
        <f t="shared" ref="M3:M12" si="2">J3-K3</f>
        <v>-1.5758176412289396E-2</v>
      </c>
      <c r="N3" s="12">
        <f t="shared" ref="N3:N12" si="3">I3-L3</f>
        <v>-1590</v>
      </c>
      <c r="O3" s="18">
        <f t="shared" ref="O3:O12" si="4">IF(M3&lt;0,M3,"")</f>
        <v>-1.5758176412289396E-2</v>
      </c>
      <c r="P3" s="18" t="str">
        <f t="shared" ref="P3:P12" si="5">IF(M3&gt;0,M3,"")</f>
        <v/>
      </c>
      <c r="Q3" s="14">
        <v>0.08</v>
      </c>
      <c r="R3" s="14">
        <v>0.12</v>
      </c>
      <c r="S3" s="18" t="str">
        <f>IF(J3&lt;Q3,J3-Q3,"")</f>
        <v/>
      </c>
      <c r="T3" s="18" t="str">
        <f t="shared" ref="T3:T7" si="6">IF(J3&gt;R3,J3-R3,"")</f>
        <v/>
      </c>
    </row>
    <row r="4" spans="2:20" x14ac:dyDescent="0.35">
      <c r="B4" t="s">
        <v>2</v>
      </c>
      <c r="F4" t="s">
        <v>17</v>
      </c>
      <c r="G4" s="1" t="s">
        <v>5</v>
      </c>
      <c r="H4" s="1">
        <v>94.9</v>
      </c>
      <c r="I4" s="7">
        <v>11500</v>
      </c>
      <c r="J4" s="2">
        <f t="shared" si="0"/>
        <v>0.11397423191278494</v>
      </c>
      <c r="K4" s="14">
        <v>0.1</v>
      </c>
      <c r="L4" s="15">
        <f t="shared" si="1"/>
        <v>10090</v>
      </c>
      <c r="M4" s="11">
        <f t="shared" si="2"/>
        <v>1.3974231912784935E-2</v>
      </c>
      <c r="N4" s="12">
        <f t="shared" si="3"/>
        <v>1410</v>
      </c>
      <c r="O4" s="18" t="str">
        <f t="shared" si="4"/>
        <v/>
      </c>
      <c r="P4" s="18">
        <f t="shared" si="5"/>
        <v>1.3974231912784935E-2</v>
      </c>
      <c r="Q4" s="14">
        <v>0.08</v>
      </c>
      <c r="R4" s="14">
        <v>0.12</v>
      </c>
      <c r="S4" s="18" t="str">
        <f t="shared" ref="S4:S12" si="7">IF(J4&lt;Q4,J4-Q4,"")</f>
        <v/>
      </c>
      <c r="T4" s="18" t="str">
        <f t="shared" si="6"/>
        <v/>
      </c>
    </row>
    <row r="5" spans="2:20" x14ac:dyDescent="0.35">
      <c r="B5" t="s">
        <v>3</v>
      </c>
      <c r="F5" t="s">
        <v>14</v>
      </c>
      <c r="G5" s="1" t="s">
        <v>13</v>
      </c>
      <c r="H5" s="1">
        <v>143.66</v>
      </c>
      <c r="I5" s="7">
        <v>9000</v>
      </c>
      <c r="J5" s="2">
        <f t="shared" si="0"/>
        <v>8.9197224975222991E-2</v>
      </c>
      <c r="K5" s="14">
        <v>0.1</v>
      </c>
      <c r="L5" s="15">
        <f t="shared" si="1"/>
        <v>10090</v>
      </c>
      <c r="M5" s="11">
        <f t="shared" si="2"/>
        <v>-1.0802775024777014E-2</v>
      </c>
      <c r="N5" s="12">
        <f t="shared" si="3"/>
        <v>-1090</v>
      </c>
      <c r="O5" s="18">
        <f t="shared" si="4"/>
        <v>-1.0802775024777014E-2</v>
      </c>
      <c r="P5" s="18" t="str">
        <f t="shared" si="5"/>
        <v/>
      </c>
      <c r="Q5" s="14">
        <v>0.08</v>
      </c>
      <c r="R5" s="14">
        <v>0.12</v>
      </c>
      <c r="S5" s="18" t="str">
        <f t="shared" si="7"/>
        <v/>
      </c>
      <c r="T5" s="18" t="str">
        <f t="shared" si="6"/>
        <v/>
      </c>
    </row>
    <row r="6" spans="2:20" x14ac:dyDescent="0.35">
      <c r="F6" t="s">
        <v>15</v>
      </c>
      <c r="G6" s="1" t="s">
        <v>6</v>
      </c>
      <c r="H6" s="1">
        <v>197.79</v>
      </c>
      <c r="I6" s="7">
        <v>12000</v>
      </c>
      <c r="J6" s="2">
        <f t="shared" si="0"/>
        <v>0.11892963330029732</v>
      </c>
      <c r="K6" s="14">
        <v>0.1</v>
      </c>
      <c r="L6" s="15">
        <f t="shared" si="1"/>
        <v>10090</v>
      </c>
      <c r="M6" s="11">
        <f t="shared" si="2"/>
        <v>1.8929633300297316E-2</v>
      </c>
      <c r="N6" s="12">
        <f t="shared" si="3"/>
        <v>1910</v>
      </c>
      <c r="O6" s="18" t="str">
        <f t="shared" si="4"/>
        <v/>
      </c>
      <c r="P6" s="18">
        <f t="shared" si="5"/>
        <v>1.8929633300297316E-2</v>
      </c>
      <c r="Q6" s="14">
        <v>0.08</v>
      </c>
      <c r="R6" s="14">
        <v>0.12</v>
      </c>
      <c r="S6" s="18" t="str">
        <f t="shared" si="7"/>
        <v/>
      </c>
      <c r="T6" s="18" t="str">
        <f t="shared" si="6"/>
        <v/>
      </c>
    </row>
    <row r="7" spans="2:20" x14ac:dyDescent="0.35">
      <c r="B7" s="6" t="s">
        <v>35</v>
      </c>
      <c r="F7" t="s">
        <v>18</v>
      </c>
      <c r="G7" s="1" t="s">
        <v>19</v>
      </c>
      <c r="H7" s="1">
        <v>140.66999999999999</v>
      </c>
      <c r="I7" s="7">
        <v>7500</v>
      </c>
      <c r="J7" s="27">
        <f t="shared" si="0"/>
        <v>7.4331020812685833E-2</v>
      </c>
      <c r="K7" s="14">
        <v>0.1</v>
      </c>
      <c r="L7" s="15">
        <f t="shared" si="1"/>
        <v>10090</v>
      </c>
      <c r="M7" s="11">
        <f t="shared" si="2"/>
        <v>-2.5668979187314173E-2</v>
      </c>
      <c r="N7" s="12">
        <f t="shared" si="3"/>
        <v>-2590</v>
      </c>
      <c r="O7" s="18">
        <f t="shared" si="4"/>
        <v>-2.5668979187314173E-2</v>
      </c>
      <c r="P7" s="18" t="str">
        <f t="shared" si="5"/>
        <v/>
      </c>
      <c r="Q7" s="26">
        <v>0.08</v>
      </c>
      <c r="R7" s="14">
        <v>0.12</v>
      </c>
      <c r="S7" s="18">
        <f t="shared" si="7"/>
        <v>-5.6689791873141687E-3</v>
      </c>
      <c r="T7" s="18" t="str">
        <f t="shared" si="6"/>
        <v/>
      </c>
    </row>
    <row r="8" spans="2:20" x14ac:dyDescent="0.35">
      <c r="B8" t="s">
        <v>36</v>
      </c>
      <c r="F8" t="s">
        <v>21</v>
      </c>
      <c r="G8" s="1" t="s">
        <v>20</v>
      </c>
      <c r="H8" s="1">
        <v>81.81</v>
      </c>
      <c r="I8" s="7">
        <v>12500</v>
      </c>
      <c r="J8" s="27">
        <f t="shared" si="0"/>
        <v>0.12388503468780972</v>
      </c>
      <c r="K8" s="14">
        <v>0.1</v>
      </c>
      <c r="L8" s="15">
        <f t="shared" si="1"/>
        <v>10090</v>
      </c>
      <c r="M8" s="11">
        <f t="shared" si="2"/>
        <v>2.3885034687809711E-2</v>
      </c>
      <c r="N8" s="12">
        <f t="shared" si="3"/>
        <v>2410</v>
      </c>
      <c r="O8" s="18" t="str">
        <f t="shared" si="4"/>
        <v/>
      </c>
      <c r="P8" s="18">
        <f t="shared" si="5"/>
        <v>2.3885034687809711E-2</v>
      </c>
      <c r="Q8" s="14">
        <v>0.08</v>
      </c>
      <c r="R8" s="26">
        <v>0.12</v>
      </c>
      <c r="S8" s="18" t="str">
        <f t="shared" si="7"/>
        <v/>
      </c>
      <c r="T8" s="18">
        <f>IF(J8&gt;R8,J8-R8,"")</f>
        <v>3.8850346878097214E-3</v>
      </c>
    </row>
    <row r="9" spans="2:20" x14ac:dyDescent="0.35">
      <c r="B9" t="s">
        <v>33</v>
      </c>
      <c r="F9" t="s">
        <v>26</v>
      </c>
      <c r="G9" s="1" t="s">
        <v>25</v>
      </c>
      <c r="H9" s="1">
        <v>112.81</v>
      </c>
      <c r="I9" s="7">
        <v>10000</v>
      </c>
      <c r="J9" s="2">
        <f t="shared" si="0"/>
        <v>9.9108027750247768E-2</v>
      </c>
      <c r="K9" s="14">
        <v>0.1</v>
      </c>
      <c r="L9" s="15">
        <f t="shared" si="1"/>
        <v>10090</v>
      </c>
      <c r="M9" s="11">
        <f t="shared" si="2"/>
        <v>-8.9197224975223754E-4</v>
      </c>
      <c r="N9" s="12">
        <f t="shared" si="3"/>
        <v>-90</v>
      </c>
      <c r="O9" s="18">
        <f t="shared" si="4"/>
        <v>-8.9197224975223754E-4</v>
      </c>
      <c r="P9" s="18" t="str">
        <f t="shared" si="5"/>
        <v/>
      </c>
      <c r="Q9" s="14">
        <v>0.08</v>
      </c>
      <c r="R9" s="14">
        <v>0.12</v>
      </c>
      <c r="S9" s="18" t="str">
        <f t="shared" si="7"/>
        <v/>
      </c>
      <c r="T9" s="18" t="str">
        <f t="shared" ref="T9:T12" si="8">IF(J9&gt;R9,J9-R9,"")</f>
        <v/>
      </c>
    </row>
    <row r="10" spans="2:20" x14ac:dyDescent="0.35">
      <c r="F10" t="s">
        <v>7</v>
      </c>
      <c r="G10" s="1" t="s">
        <v>8</v>
      </c>
      <c r="H10" s="1">
        <v>77.84</v>
      </c>
      <c r="I10" s="7">
        <v>9700</v>
      </c>
      <c r="J10" s="2">
        <f t="shared" si="0"/>
        <v>9.6134786917740342E-2</v>
      </c>
      <c r="K10" s="14">
        <v>0.1</v>
      </c>
      <c r="L10" s="15">
        <f t="shared" si="1"/>
        <v>10090</v>
      </c>
      <c r="M10" s="11">
        <f t="shared" si="2"/>
        <v>-3.8652130822596636E-3</v>
      </c>
      <c r="N10" s="12">
        <f t="shared" si="3"/>
        <v>-390</v>
      </c>
      <c r="O10" s="18">
        <f t="shared" si="4"/>
        <v>-3.8652130822596636E-3</v>
      </c>
      <c r="P10" s="18" t="str">
        <f t="shared" si="5"/>
        <v/>
      </c>
      <c r="Q10" s="14">
        <v>0.08</v>
      </c>
      <c r="R10" s="14">
        <v>0.12</v>
      </c>
      <c r="S10" s="18" t="str">
        <f t="shared" si="7"/>
        <v/>
      </c>
      <c r="T10" s="18" t="str">
        <f t="shared" si="8"/>
        <v/>
      </c>
    </row>
    <row r="11" spans="2:20" x14ac:dyDescent="0.35">
      <c r="F11" t="s">
        <v>9</v>
      </c>
      <c r="G11" s="1" t="s">
        <v>10</v>
      </c>
      <c r="H11" s="1">
        <v>92.49</v>
      </c>
      <c r="I11" s="7">
        <v>9500</v>
      </c>
      <c r="J11" s="2">
        <f t="shared" si="0"/>
        <v>9.4152626362735387E-2</v>
      </c>
      <c r="K11" s="14">
        <v>0.1</v>
      </c>
      <c r="L11" s="15">
        <f t="shared" si="1"/>
        <v>10090</v>
      </c>
      <c r="M11" s="11">
        <f t="shared" si="2"/>
        <v>-5.847373637264619E-3</v>
      </c>
      <c r="N11" s="12">
        <f t="shared" si="3"/>
        <v>-590</v>
      </c>
      <c r="O11" s="18">
        <f t="shared" si="4"/>
        <v>-5.847373637264619E-3</v>
      </c>
      <c r="P11" s="18" t="str">
        <f t="shared" si="5"/>
        <v/>
      </c>
      <c r="Q11" s="14">
        <v>0.08</v>
      </c>
      <c r="R11" s="14">
        <v>0.12</v>
      </c>
      <c r="S11" s="18" t="str">
        <f t="shared" si="7"/>
        <v/>
      </c>
      <c r="T11" s="18" t="str">
        <f t="shared" si="8"/>
        <v/>
      </c>
    </row>
    <row r="12" spans="2:20" x14ac:dyDescent="0.35">
      <c r="F12" t="s">
        <v>11</v>
      </c>
      <c r="G12" s="1" t="s">
        <v>12</v>
      </c>
      <c r="H12" s="1">
        <v>27.98</v>
      </c>
      <c r="I12" s="7">
        <v>10700</v>
      </c>
      <c r="J12" s="2">
        <f t="shared" si="0"/>
        <v>0.10604558969276512</v>
      </c>
      <c r="K12" s="14">
        <v>0.1</v>
      </c>
      <c r="L12" s="15">
        <f t="shared" si="1"/>
        <v>10090</v>
      </c>
      <c r="M12" s="11">
        <f t="shared" si="2"/>
        <v>6.0455896927651132E-3</v>
      </c>
      <c r="N12" s="12">
        <f t="shared" si="3"/>
        <v>610</v>
      </c>
      <c r="O12" s="18" t="str">
        <f t="shared" si="4"/>
        <v/>
      </c>
      <c r="P12" s="18">
        <f t="shared" si="5"/>
        <v>6.0455896927651132E-3</v>
      </c>
      <c r="Q12" s="14">
        <v>0.08</v>
      </c>
      <c r="R12" s="14">
        <v>0.12</v>
      </c>
      <c r="S12" s="18" t="str">
        <f t="shared" si="7"/>
        <v/>
      </c>
      <c r="T12" s="18" t="str">
        <f t="shared" si="8"/>
        <v/>
      </c>
    </row>
    <row r="13" spans="2:20" ht="5.15" customHeight="1" x14ac:dyDescent="0.35">
      <c r="I13" s="10"/>
      <c r="J13" s="2"/>
      <c r="K13" s="16"/>
      <c r="L13" s="16"/>
      <c r="M13" s="11"/>
      <c r="N13" s="13"/>
      <c r="Q13" s="16"/>
      <c r="R13" s="16"/>
      <c r="S13" s="1"/>
      <c r="T13" s="1"/>
    </row>
    <row r="14" spans="2:20" x14ac:dyDescent="0.35">
      <c r="B14" t="s">
        <v>37</v>
      </c>
      <c r="I14" s="9">
        <f>SUM(I3:I12)</f>
        <v>100900</v>
      </c>
      <c r="J14" s="2">
        <f>I14/$I$14</f>
        <v>1</v>
      </c>
      <c r="K14" s="14">
        <f>SUM(K3:K12)</f>
        <v>0.99999999999999989</v>
      </c>
      <c r="L14" s="15">
        <f>SUM(L3:L12)</f>
        <v>100900</v>
      </c>
      <c r="M14" s="11">
        <f>N14/$I$14</f>
        <v>0</v>
      </c>
      <c r="N14" s="12">
        <f>SUM(N3:N12)</f>
        <v>0</v>
      </c>
      <c r="O14" s="2">
        <f>SUM(O3:O12)</f>
        <v>-6.2834489593657103E-2</v>
      </c>
      <c r="P14" s="2">
        <f>SUM(P3:P12)</f>
        <v>6.2834489593657075E-2</v>
      </c>
      <c r="Q14" s="14"/>
      <c r="R14" s="14"/>
      <c r="S14" s="2">
        <f>SUM(S3:S12)</f>
        <v>-5.6689791873141687E-3</v>
      </c>
      <c r="T14" s="2">
        <f>SUM(T3:T12)</f>
        <v>3.8850346878097214E-3</v>
      </c>
    </row>
    <row r="15" spans="2:20" x14ac:dyDescent="0.35">
      <c r="B15" t="s">
        <v>38</v>
      </c>
      <c r="O15" s="19" t="s">
        <v>42</v>
      </c>
      <c r="P15" s="19" t="s">
        <v>42</v>
      </c>
      <c r="S15" s="2">
        <f>T14-S14</f>
        <v>9.5540138751238901E-3</v>
      </c>
      <c r="T15" s="19"/>
    </row>
    <row r="16" spans="2:20" x14ac:dyDescent="0.35">
      <c r="S16" s="19" t="s">
        <v>47</v>
      </c>
    </row>
    <row r="18" spans="2:2" x14ac:dyDescent="0.35">
      <c r="B18" t="s">
        <v>39</v>
      </c>
    </row>
    <row r="19" spans="2:2" x14ac:dyDescent="0.35">
      <c r="B19" t="s">
        <v>48</v>
      </c>
    </row>
    <row r="20" spans="2:2" x14ac:dyDescent="0.35">
      <c r="B20" t="s">
        <v>49</v>
      </c>
    </row>
    <row r="22" spans="2:2" x14ac:dyDescent="0.35">
      <c r="B22" t="s">
        <v>50</v>
      </c>
    </row>
    <row r="23" spans="2:2" x14ac:dyDescent="0.35">
      <c r="B23" t="s">
        <v>51</v>
      </c>
    </row>
    <row r="24" spans="2:2" x14ac:dyDescent="0.35">
      <c r="B24" t="s">
        <v>52</v>
      </c>
    </row>
    <row r="25" spans="2:2" x14ac:dyDescent="0.35">
      <c r="B25" t="s">
        <v>53</v>
      </c>
    </row>
    <row r="26" spans="2:2" x14ac:dyDescent="0.35">
      <c r="B26" t="s">
        <v>54</v>
      </c>
    </row>
    <row r="27" spans="2:2" x14ac:dyDescent="0.35">
      <c r="B27" t="s">
        <v>55</v>
      </c>
    </row>
    <row r="29" spans="2:2" x14ac:dyDescent="0.35">
      <c r="B29" t="s">
        <v>56</v>
      </c>
    </row>
    <row r="32" spans="2:2" x14ac:dyDescent="0.35">
      <c r="B32" t="s">
        <v>57</v>
      </c>
    </row>
    <row r="33" spans="2:2" x14ac:dyDescent="0.35">
      <c r="B33" t="s">
        <v>58</v>
      </c>
    </row>
    <row r="34" spans="2:2" x14ac:dyDescent="0.35">
      <c r="B34" t="s">
        <v>59</v>
      </c>
    </row>
    <row r="35" spans="2:2" x14ac:dyDescent="0.35">
      <c r="B35" t="s">
        <v>60</v>
      </c>
    </row>
    <row r="36" spans="2:2" x14ac:dyDescent="0.35">
      <c r="B36" t="s">
        <v>61</v>
      </c>
    </row>
    <row r="38" spans="2:2" x14ac:dyDescent="0.35">
      <c r="B38" t="s">
        <v>62</v>
      </c>
    </row>
    <row r="39" spans="2:2" x14ac:dyDescent="0.35">
      <c r="B39" t="s">
        <v>63</v>
      </c>
    </row>
    <row r="42" spans="2:2" x14ac:dyDescent="0.35">
      <c r="B42" t="s">
        <v>84</v>
      </c>
    </row>
    <row r="43" spans="2:2" x14ac:dyDescent="0.35">
      <c r="B43" t="s">
        <v>79</v>
      </c>
    </row>
    <row r="44" spans="2:2" x14ac:dyDescent="0.35">
      <c r="B44" t="s">
        <v>80</v>
      </c>
    </row>
    <row r="45" spans="2:2" x14ac:dyDescent="0.35">
      <c r="B45" t="s">
        <v>81</v>
      </c>
    </row>
    <row r="46" spans="2:2" x14ac:dyDescent="0.35">
      <c r="B46" t="s">
        <v>82</v>
      </c>
    </row>
    <row r="47" spans="2:2" x14ac:dyDescent="0.35">
      <c r="B47" t="s">
        <v>83</v>
      </c>
    </row>
    <row r="48" spans="2:2" x14ac:dyDescent="0.35">
      <c r="B48" t="s">
        <v>105</v>
      </c>
    </row>
    <row r="49" spans="2:2" x14ac:dyDescent="0.35">
      <c r="B49" t="s">
        <v>106</v>
      </c>
    </row>
    <row r="51" spans="2:2" x14ac:dyDescent="0.35">
      <c r="B51"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9"/>
  <sheetViews>
    <sheetView zoomScaleNormal="100" workbookViewId="0">
      <selection activeCell="Z2" sqref="Z2:AA2"/>
    </sheetView>
  </sheetViews>
  <sheetFormatPr defaultRowHeight="14.5" x14ac:dyDescent="0.35"/>
  <cols>
    <col min="1" max="1" width="23.54296875" bestFit="1" customWidth="1"/>
    <col min="2" max="2" width="26.08984375" customWidth="1"/>
    <col min="3" max="3" width="6.08984375" bestFit="1" customWidth="1"/>
    <col min="4" max="4" width="7.1796875" bestFit="1" customWidth="1"/>
    <col min="5" max="5" width="10.1796875" style="3" bestFit="1" customWidth="1"/>
    <col min="6" max="6" width="7.453125" style="1" bestFit="1" customWidth="1"/>
    <col min="7" max="7" width="7.1796875" bestFit="1" customWidth="1"/>
    <col min="8" max="8" width="10.7265625" customWidth="1"/>
    <col min="9" max="9" width="7.7265625" style="1" customWidth="1"/>
    <col min="10" max="10" width="9.36328125" style="1" customWidth="1"/>
    <col min="11" max="12" width="9.6328125" style="1" customWidth="1"/>
    <col min="13" max="14" width="7.7265625" customWidth="1"/>
    <col min="15" max="15" width="8.7265625" hidden="1" customWidth="1"/>
    <col min="16" max="16" width="8.7265625" style="1" hidden="1" customWidth="1"/>
    <col min="17" max="17" width="9.1796875" style="3" customWidth="1"/>
    <col min="18" max="18" width="10.7265625" customWidth="1"/>
    <col min="19" max="19" width="8.7265625" customWidth="1"/>
    <col min="27" max="27" width="27" customWidth="1"/>
    <col min="39" max="39" width="9.6328125" customWidth="1"/>
    <col min="42" max="42" width="28.453125" bestFit="1" customWidth="1"/>
    <col min="43" max="43" width="38.81640625" bestFit="1" customWidth="1"/>
  </cols>
  <sheetData>
    <row r="1" spans="1:27" x14ac:dyDescent="0.35">
      <c r="A1" s="6" t="s">
        <v>172</v>
      </c>
      <c r="P1" s="60"/>
    </row>
    <row r="2" spans="1:27" s="17" customFormat="1" ht="32.15" customHeight="1" thickBot="1" x14ac:dyDescent="0.4">
      <c r="B2" s="75" t="s">
        <v>22</v>
      </c>
      <c r="C2" s="92" t="s">
        <v>23</v>
      </c>
      <c r="D2" s="92" t="s">
        <v>24</v>
      </c>
      <c r="E2" s="102" t="s">
        <v>119</v>
      </c>
      <c r="F2" s="92" t="s">
        <v>30</v>
      </c>
      <c r="G2" s="103" t="s">
        <v>27</v>
      </c>
      <c r="H2" s="103" t="s">
        <v>28</v>
      </c>
      <c r="I2" s="104" t="s">
        <v>31</v>
      </c>
      <c r="J2" s="104" t="s">
        <v>32</v>
      </c>
      <c r="K2" s="105" t="s">
        <v>41</v>
      </c>
      <c r="L2" s="105" t="s">
        <v>40</v>
      </c>
      <c r="M2" s="103" t="s">
        <v>43</v>
      </c>
      <c r="N2" s="103" t="s">
        <v>44</v>
      </c>
      <c r="O2" s="105" t="s">
        <v>45</v>
      </c>
      <c r="P2" s="111" t="s">
        <v>46</v>
      </c>
      <c r="Q2" s="69"/>
      <c r="R2"/>
      <c r="Z2" s="92" t="s">
        <v>173</v>
      </c>
      <c r="AA2" s="75" t="s">
        <v>94</v>
      </c>
    </row>
    <row r="3" spans="1:27" x14ac:dyDescent="0.35">
      <c r="A3" s="5" t="s">
        <v>108</v>
      </c>
      <c r="B3" t="s">
        <v>16</v>
      </c>
      <c r="C3" s="1" t="s">
        <v>4</v>
      </c>
      <c r="D3" s="1">
        <v>255.29</v>
      </c>
      <c r="E3" s="7">
        <v>8300</v>
      </c>
      <c r="F3" s="2">
        <f>E3/$E15</f>
        <v>8.3000000000000004E-2</v>
      </c>
      <c r="G3" s="14">
        <v>0.1</v>
      </c>
      <c r="H3" s="15">
        <f>$E15*G3</f>
        <v>10000</v>
      </c>
      <c r="I3" s="55">
        <f t="shared" ref="I3:I13" si="0">F3-G3</f>
        <v>-1.7000000000000001E-2</v>
      </c>
      <c r="J3" s="12">
        <f t="shared" ref="J3:J13" si="1">E3-H3</f>
        <v>-1700</v>
      </c>
      <c r="K3" s="47">
        <f t="shared" ref="K3:K13" si="2">IF(I3&lt;0,I3,"")</f>
        <v>-1.7000000000000001E-2</v>
      </c>
      <c r="L3" s="47" t="str">
        <f t="shared" ref="L3:L13" si="3">IF(I3&gt;0,I3,"")</f>
        <v/>
      </c>
      <c r="M3" s="14">
        <v>0.08</v>
      </c>
      <c r="N3" s="14">
        <v>0.12</v>
      </c>
      <c r="O3" s="18" t="str">
        <f>IF(F3&lt;M3,F3-M3,"")</f>
        <v/>
      </c>
      <c r="P3" s="59" t="str">
        <f t="shared" ref="P3:P7" si="4">IF(F3&gt;N3,F3-N3,"")</f>
        <v/>
      </c>
      <c r="Q3" s="70"/>
      <c r="Z3" s="47">
        <f>MAX(L3:L13)</f>
        <v>1.8999999999999989E-2</v>
      </c>
      <c r="AA3" t="s">
        <v>86</v>
      </c>
    </row>
    <row r="4" spans="1:27" x14ac:dyDescent="0.35">
      <c r="B4" t="s">
        <v>17</v>
      </c>
      <c r="C4" s="1" t="s">
        <v>5</v>
      </c>
      <c r="D4" s="1">
        <v>94.9</v>
      </c>
      <c r="E4" s="7">
        <v>11700</v>
      </c>
      <c r="F4" s="2">
        <f>E4/$E15</f>
        <v>0.11700000000000001</v>
      </c>
      <c r="G4" s="14">
        <v>0.1</v>
      </c>
      <c r="H4" s="15">
        <f>$E15*G4</f>
        <v>10000</v>
      </c>
      <c r="I4" s="55">
        <f t="shared" si="0"/>
        <v>1.7000000000000001E-2</v>
      </c>
      <c r="J4" s="12">
        <f t="shared" si="1"/>
        <v>1700</v>
      </c>
      <c r="K4" s="47" t="str">
        <f t="shared" si="2"/>
        <v/>
      </c>
      <c r="L4" s="47">
        <f t="shared" si="3"/>
        <v>1.7000000000000001E-2</v>
      </c>
      <c r="M4" s="14">
        <v>0.08</v>
      </c>
      <c r="N4" s="14">
        <v>0.12</v>
      </c>
      <c r="O4" s="18" t="str">
        <f t="shared" ref="O4:O13" si="5">IF(F4&lt;M4,F4-M4,"")</f>
        <v/>
      </c>
      <c r="P4" s="59" t="str">
        <f t="shared" si="4"/>
        <v/>
      </c>
      <c r="Q4" s="70"/>
      <c r="Z4" s="47">
        <f>MIN(K3:K13)</f>
        <v>-1.9000000000000003E-2</v>
      </c>
      <c r="AA4" t="s">
        <v>87</v>
      </c>
    </row>
    <row r="5" spans="1:27" x14ac:dyDescent="0.35">
      <c r="B5" t="s">
        <v>14</v>
      </c>
      <c r="C5" s="1" t="s">
        <v>13</v>
      </c>
      <c r="D5" s="1">
        <v>143.66</v>
      </c>
      <c r="E5" s="7">
        <v>8100</v>
      </c>
      <c r="F5" s="2">
        <f>E5/$E15</f>
        <v>8.1000000000000003E-2</v>
      </c>
      <c r="G5" s="14">
        <v>0.1</v>
      </c>
      <c r="H5" s="15">
        <f>$E15*G5</f>
        <v>10000</v>
      </c>
      <c r="I5" s="55">
        <f t="shared" si="0"/>
        <v>-1.9000000000000003E-2</v>
      </c>
      <c r="J5" s="12">
        <f t="shared" si="1"/>
        <v>-1900</v>
      </c>
      <c r="K5" s="47">
        <f t="shared" si="2"/>
        <v>-1.9000000000000003E-2</v>
      </c>
      <c r="L5" s="47" t="str">
        <f t="shared" si="3"/>
        <v/>
      </c>
      <c r="M5" s="14">
        <v>0.08</v>
      </c>
      <c r="N5" s="14">
        <v>0.12</v>
      </c>
      <c r="O5" s="18" t="str">
        <f t="shared" si="5"/>
        <v/>
      </c>
      <c r="P5" s="59" t="str">
        <f t="shared" si="4"/>
        <v/>
      </c>
      <c r="Q5" s="70"/>
      <c r="Z5" s="47">
        <f>L15</f>
        <v>6.4999999999999974E-2</v>
      </c>
      <c r="AA5" t="s">
        <v>88</v>
      </c>
    </row>
    <row r="6" spans="1:27" x14ac:dyDescent="0.35">
      <c r="B6" t="s">
        <v>15</v>
      </c>
      <c r="C6" s="1" t="s">
        <v>6</v>
      </c>
      <c r="D6" s="1">
        <v>197.79</v>
      </c>
      <c r="E6" s="7">
        <v>11800</v>
      </c>
      <c r="F6" s="2">
        <f>E6/$E15</f>
        <v>0.11799999999999999</v>
      </c>
      <c r="G6" s="14">
        <v>0.1</v>
      </c>
      <c r="H6" s="15">
        <f>$E15*G6</f>
        <v>10000</v>
      </c>
      <c r="I6" s="55">
        <f t="shared" si="0"/>
        <v>1.7999999999999988E-2</v>
      </c>
      <c r="J6" s="12">
        <f t="shared" si="1"/>
        <v>1800</v>
      </c>
      <c r="K6" s="47" t="str">
        <f t="shared" si="2"/>
        <v/>
      </c>
      <c r="L6" s="47">
        <f t="shared" si="3"/>
        <v>1.7999999999999988E-2</v>
      </c>
      <c r="M6" s="14">
        <v>0.08</v>
      </c>
      <c r="N6" s="14">
        <v>0.12</v>
      </c>
      <c r="O6" s="18" t="str">
        <f t="shared" si="5"/>
        <v/>
      </c>
      <c r="P6" s="59" t="str">
        <f t="shared" si="4"/>
        <v/>
      </c>
      <c r="Q6" s="70"/>
      <c r="Z6" s="18">
        <f>O16</f>
        <v>0</v>
      </c>
      <c r="AA6" t="s">
        <v>89</v>
      </c>
    </row>
    <row r="7" spans="1:27" x14ac:dyDescent="0.35">
      <c r="A7" s="6"/>
      <c r="B7" s="8" t="s">
        <v>18</v>
      </c>
      <c r="C7" s="10" t="s">
        <v>19</v>
      </c>
      <c r="D7" s="10">
        <v>140.66999999999999</v>
      </c>
      <c r="E7" s="7">
        <v>8400</v>
      </c>
      <c r="F7" s="33">
        <f>E7/$E15</f>
        <v>8.4000000000000005E-2</v>
      </c>
      <c r="G7" s="28">
        <v>0.1</v>
      </c>
      <c r="H7" s="29">
        <f>$E15*G7</f>
        <v>10000</v>
      </c>
      <c r="I7" s="56">
        <f t="shared" si="0"/>
        <v>-1.6E-2</v>
      </c>
      <c r="J7" s="31">
        <f t="shared" si="1"/>
        <v>-1600</v>
      </c>
      <c r="K7" s="48">
        <f t="shared" si="2"/>
        <v>-1.6E-2</v>
      </c>
      <c r="L7" s="48" t="str">
        <f t="shared" si="3"/>
        <v/>
      </c>
      <c r="M7" s="28">
        <v>0.08</v>
      </c>
      <c r="N7" s="28">
        <v>0.12</v>
      </c>
      <c r="O7" s="34" t="str">
        <f t="shared" si="5"/>
        <v/>
      </c>
      <c r="P7" s="59" t="str">
        <f t="shared" si="4"/>
        <v/>
      </c>
      <c r="Q7" s="70"/>
      <c r="Z7" s="47">
        <f>I16</f>
        <v>1.6265670203682098E-2</v>
      </c>
      <c r="AA7" t="s">
        <v>90</v>
      </c>
    </row>
    <row r="8" spans="1:27" x14ac:dyDescent="0.35">
      <c r="B8" s="8" t="s">
        <v>21</v>
      </c>
      <c r="C8" s="10" t="s">
        <v>20</v>
      </c>
      <c r="D8" s="10">
        <v>81.81</v>
      </c>
      <c r="E8" s="7">
        <v>11900</v>
      </c>
      <c r="F8" s="33">
        <f>E8/$E15</f>
        <v>0.11899999999999999</v>
      </c>
      <c r="G8" s="28">
        <v>0.1</v>
      </c>
      <c r="H8" s="29">
        <f>$E15*G8</f>
        <v>10000</v>
      </c>
      <c r="I8" s="56">
        <f t="shared" si="0"/>
        <v>1.8999999999999989E-2</v>
      </c>
      <c r="J8" s="31">
        <f t="shared" si="1"/>
        <v>1900</v>
      </c>
      <c r="K8" s="48" t="str">
        <f t="shared" si="2"/>
        <v/>
      </c>
      <c r="L8" s="48">
        <f t="shared" si="3"/>
        <v>1.8999999999999989E-2</v>
      </c>
      <c r="M8" s="28">
        <v>0.08</v>
      </c>
      <c r="N8" s="28">
        <v>0.12</v>
      </c>
      <c r="O8" s="34" t="str">
        <f t="shared" si="5"/>
        <v/>
      </c>
      <c r="P8" s="59" t="str">
        <f>IF(F8&gt;N8,F8-N8,"")</f>
        <v/>
      </c>
      <c r="Q8" s="70"/>
      <c r="Z8" s="3"/>
    </row>
    <row r="9" spans="1:27" x14ac:dyDescent="0.35">
      <c r="B9" s="93" t="s">
        <v>26</v>
      </c>
      <c r="C9" s="94" t="s">
        <v>25</v>
      </c>
      <c r="D9" s="94">
        <v>112.81</v>
      </c>
      <c r="E9" s="95">
        <v>10000</v>
      </c>
      <c r="F9" s="96">
        <f>E9/$E15</f>
        <v>0.1</v>
      </c>
      <c r="G9" s="97">
        <v>0.1</v>
      </c>
      <c r="H9" s="98">
        <f>$E15*G9</f>
        <v>10000</v>
      </c>
      <c r="I9" s="99">
        <f t="shared" si="0"/>
        <v>0</v>
      </c>
      <c r="J9" s="100">
        <f t="shared" si="1"/>
        <v>0</v>
      </c>
      <c r="K9" s="101" t="str">
        <f t="shared" si="2"/>
        <v/>
      </c>
      <c r="L9" s="101" t="str">
        <f t="shared" si="3"/>
        <v/>
      </c>
      <c r="M9" s="97">
        <v>0.08</v>
      </c>
      <c r="N9" s="97">
        <v>0.12</v>
      </c>
      <c r="O9" s="35" t="str">
        <f t="shared" si="5"/>
        <v/>
      </c>
      <c r="P9" s="59" t="str">
        <f t="shared" ref="P9:P13" si="6">IF(F9&gt;N9,F9-N9,"")</f>
        <v/>
      </c>
      <c r="Q9" s="70"/>
      <c r="Z9" s="1"/>
    </row>
    <row r="10" spans="1:27" x14ac:dyDescent="0.35">
      <c r="B10" t="s">
        <v>68</v>
      </c>
      <c r="C10" s="1" t="s">
        <v>8</v>
      </c>
      <c r="D10" s="1">
        <v>77.84</v>
      </c>
      <c r="E10" s="7">
        <v>9700</v>
      </c>
      <c r="F10" s="2">
        <f>E10/$E15</f>
        <v>9.7000000000000003E-2</v>
      </c>
      <c r="G10" s="14">
        <v>0.1</v>
      </c>
      <c r="H10" s="15">
        <f>$E15*G10</f>
        <v>10000</v>
      </c>
      <c r="I10" s="55">
        <f t="shared" si="0"/>
        <v>-3.0000000000000027E-3</v>
      </c>
      <c r="J10" s="12">
        <f t="shared" si="1"/>
        <v>-300</v>
      </c>
      <c r="K10" s="47">
        <f t="shared" si="2"/>
        <v>-3.0000000000000027E-3</v>
      </c>
      <c r="L10" s="47" t="str">
        <f t="shared" si="3"/>
        <v/>
      </c>
      <c r="M10" s="14">
        <v>0.08</v>
      </c>
      <c r="N10" s="14">
        <v>0.12</v>
      </c>
      <c r="O10" s="18" t="str">
        <f t="shared" si="5"/>
        <v/>
      </c>
      <c r="P10" s="59" t="str">
        <f t="shared" si="6"/>
        <v/>
      </c>
      <c r="Q10" s="70"/>
    </row>
    <row r="11" spans="1:27" x14ac:dyDescent="0.35">
      <c r="B11" t="s">
        <v>9</v>
      </c>
      <c r="C11" s="1" t="s">
        <v>10</v>
      </c>
      <c r="D11" s="1">
        <v>92.49</v>
      </c>
      <c r="E11" s="7">
        <v>9000</v>
      </c>
      <c r="F11" s="2">
        <f>E11/$E15</f>
        <v>0.09</v>
      </c>
      <c r="G11" s="14">
        <v>0.1</v>
      </c>
      <c r="H11" s="15">
        <f>$E15*G11</f>
        <v>10000</v>
      </c>
      <c r="I11" s="55">
        <f t="shared" si="0"/>
        <v>-1.0000000000000009E-2</v>
      </c>
      <c r="J11" s="12">
        <f t="shared" si="1"/>
        <v>-1000</v>
      </c>
      <c r="K11" s="47">
        <f t="shared" si="2"/>
        <v>-1.0000000000000009E-2</v>
      </c>
      <c r="L11" s="47" t="str">
        <f t="shared" si="3"/>
        <v/>
      </c>
      <c r="M11" s="14">
        <v>0.08</v>
      </c>
      <c r="N11" s="14">
        <v>0.12</v>
      </c>
      <c r="O11" s="18" t="str">
        <f t="shared" si="5"/>
        <v/>
      </c>
      <c r="P11" s="59" t="str">
        <f t="shared" si="6"/>
        <v/>
      </c>
      <c r="Q11" s="70"/>
    </row>
    <row r="12" spans="1:27" x14ac:dyDescent="0.35">
      <c r="B12" t="s">
        <v>69</v>
      </c>
      <c r="C12" s="1" t="s">
        <v>12</v>
      </c>
      <c r="D12" s="1">
        <v>27.98</v>
      </c>
      <c r="E12" s="7">
        <v>8400</v>
      </c>
      <c r="F12" s="2">
        <f>E12/$E15</f>
        <v>8.4000000000000005E-2</v>
      </c>
      <c r="G12" s="14">
        <v>0.08</v>
      </c>
      <c r="H12" s="15">
        <f>$E15*G12</f>
        <v>8000</v>
      </c>
      <c r="I12" s="55">
        <f t="shared" si="0"/>
        <v>4.0000000000000036E-3</v>
      </c>
      <c r="J12" s="12">
        <f t="shared" si="1"/>
        <v>400</v>
      </c>
      <c r="K12" s="47" t="str">
        <f t="shared" si="2"/>
        <v/>
      </c>
      <c r="L12" s="47">
        <f t="shared" si="3"/>
        <v>4.0000000000000036E-3</v>
      </c>
      <c r="M12" s="14">
        <v>0.06</v>
      </c>
      <c r="N12" s="14">
        <v>0.1</v>
      </c>
      <c r="O12" s="18"/>
      <c r="P12" s="59"/>
      <c r="Q12" s="70"/>
    </row>
    <row r="13" spans="1:27" x14ac:dyDescent="0.35">
      <c r="B13" t="s">
        <v>65</v>
      </c>
      <c r="C13" s="1" t="s">
        <v>65</v>
      </c>
      <c r="D13" s="1">
        <v>1</v>
      </c>
      <c r="E13" s="7">
        <v>2700</v>
      </c>
      <c r="F13" s="2">
        <f>E13/$E15</f>
        <v>2.7E-2</v>
      </c>
      <c r="G13" s="14">
        <v>0.02</v>
      </c>
      <c r="H13" s="15">
        <f>$E15*G13</f>
        <v>2000</v>
      </c>
      <c r="I13" s="55">
        <f t="shared" si="0"/>
        <v>6.9999999999999993E-3</v>
      </c>
      <c r="J13" s="12">
        <f t="shared" si="1"/>
        <v>700</v>
      </c>
      <c r="K13" s="47" t="str">
        <f t="shared" si="2"/>
        <v/>
      </c>
      <c r="L13" s="47">
        <f t="shared" si="3"/>
        <v>6.9999999999999993E-3</v>
      </c>
      <c r="M13" s="14">
        <v>6.0000000000000001E-3</v>
      </c>
      <c r="N13" s="14">
        <v>0.04</v>
      </c>
      <c r="O13" s="18" t="str">
        <f t="shared" si="5"/>
        <v/>
      </c>
      <c r="P13" s="59" t="str">
        <f t="shared" si="6"/>
        <v/>
      </c>
      <c r="Q13" s="70"/>
    </row>
    <row r="14" spans="1:27" ht="5.15" customHeight="1" x14ac:dyDescent="0.35">
      <c r="E14" s="7"/>
      <c r="F14" s="2"/>
      <c r="G14" s="16"/>
      <c r="H14" s="16"/>
      <c r="I14" s="55"/>
      <c r="J14" s="13"/>
      <c r="K14" s="47"/>
      <c r="L14" s="47"/>
      <c r="M14" s="16"/>
      <c r="N14" s="16"/>
      <c r="O14" s="1"/>
      <c r="P14" s="60"/>
      <c r="Q14" s="70"/>
    </row>
    <row r="15" spans="1:27" x14ac:dyDescent="0.35">
      <c r="E15" s="9">
        <f>SUM(E3:E13)</f>
        <v>100000</v>
      </c>
      <c r="F15" s="2">
        <f>E15/$E15</f>
        <v>1</v>
      </c>
      <c r="G15" s="14">
        <f>SUM(G3:G13)</f>
        <v>0.99999999999999989</v>
      </c>
      <c r="H15" s="15">
        <f>SUM(H3:H13)</f>
        <v>100000</v>
      </c>
      <c r="I15" s="55">
        <f>J15/$E$15</f>
        <v>0</v>
      </c>
      <c r="J15" s="12">
        <f>SUM(J3:J13)</f>
        <v>0</v>
      </c>
      <c r="K15" s="136">
        <f>SUM(K3:K13)</f>
        <v>-6.5000000000000016E-2</v>
      </c>
      <c r="L15" s="137">
        <f>SUM(L3:L13)</f>
        <v>6.4999999999999974E-2</v>
      </c>
      <c r="M15" s="14"/>
      <c r="N15" s="14"/>
      <c r="O15" s="2">
        <f>SUM(O3:O13)</f>
        <v>0</v>
      </c>
      <c r="P15" s="61">
        <f>SUM(P3:P13)</f>
        <v>0</v>
      </c>
      <c r="Q15" s="71"/>
    </row>
    <row r="16" spans="1:27" x14ac:dyDescent="0.35">
      <c r="H16" s="133" t="s">
        <v>3</v>
      </c>
      <c r="I16" s="135">
        <f t="array" ref="I16">SQRT(MMULT(MMULT(TRANSPOSE(I3:I13),'Risk Stats for Calcs (orig ord)'!$O$3:$Y$13),I3:I13))</f>
        <v>1.6265670203682098E-2</v>
      </c>
      <c r="K16" s="131" t="s">
        <v>42</v>
      </c>
      <c r="L16" s="132" t="s">
        <v>42</v>
      </c>
      <c r="O16" s="2">
        <f>P15-O15</f>
        <v>0</v>
      </c>
      <c r="P16" s="84" t="s">
        <v>109</v>
      </c>
      <c r="Q16" s="72"/>
    </row>
    <row r="17" spans="1:35" x14ac:dyDescent="0.35">
      <c r="A17" s="36"/>
      <c r="B17" s="36"/>
      <c r="C17" s="36"/>
      <c r="D17" s="36"/>
      <c r="E17" s="38"/>
      <c r="F17" s="37"/>
      <c r="G17" s="36"/>
      <c r="H17" s="36"/>
      <c r="I17" s="37"/>
      <c r="J17" s="37"/>
      <c r="K17" s="37"/>
      <c r="L17" s="37"/>
      <c r="M17" s="36"/>
      <c r="N17" s="36"/>
      <c r="O17" s="36"/>
      <c r="P17" s="85"/>
      <c r="Q17" s="36"/>
      <c r="R17" s="36"/>
      <c r="S17" s="36"/>
      <c r="T17" s="36"/>
      <c r="U17" s="36"/>
      <c r="V17" s="36"/>
      <c r="W17" s="36"/>
      <c r="X17" s="36"/>
      <c r="Y17" s="36"/>
      <c r="Z17" s="36"/>
      <c r="AA17" s="36"/>
      <c r="AB17" s="36"/>
      <c r="AC17" s="36"/>
      <c r="AD17" s="36"/>
      <c r="AE17" s="36"/>
      <c r="AF17" s="36"/>
      <c r="AG17" s="36"/>
      <c r="AH17" s="36"/>
      <c r="AI17" s="36"/>
    </row>
    <row r="18" spans="1:35" s="17" customFormat="1" ht="32.15" customHeight="1" thickBot="1" x14ac:dyDescent="0.4">
      <c r="B18" s="75" t="s">
        <v>22</v>
      </c>
      <c r="C18" s="92" t="s">
        <v>23</v>
      </c>
      <c r="D18" s="92" t="s">
        <v>24</v>
      </c>
      <c r="E18" s="102" t="s">
        <v>119</v>
      </c>
      <c r="F18" s="92" t="s">
        <v>30</v>
      </c>
      <c r="G18" s="103" t="s">
        <v>27</v>
      </c>
      <c r="H18" s="103" t="s">
        <v>28</v>
      </c>
      <c r="I18" s="104" t="s">
        <v>31</v>
      </c>
      <c r="J18" s="104" t="s">
        <v>32</v>
      </c>
      <c r="K18" s="105" t="s">
        <v>41</v>
      </c>
      <c r="L18" s="105" t="s">
        <v>40</v>
      </c>
      <c r="M18" s="103" t="s">
        <v>43</v>
      </c>
      <c r="N18" s="103" t="s">
        <v>44</v>
      </c>
      <c r="O18" s="105" t="s">
        <v>45</v>
      </c>
      <c r="P18" s="111" t="s">
        <v>46</v>
      </c>
      <c r="Q18" s="69"/>
      <c r="R18"/>
      <c r="Z18" s="92" t="s">
        <v>173</v>
      </c>
      <c r="AA18" s="75" t="s">
        <v>94</v>
      </c>
      <c r="AC18"/>
      <c r="AD18"/>
      <c r="AE18"/>
      <c r="AF18"/>
      <c r="AG18"/>
      <c r="AH18"/>
      <c r="AI18"/>
    </row>
    <row r="19" spans="1:35" x14ac:dyDescent="0.35">
      <c r="A19" s="5" t="s">
        <v>110</v>
      </c>
      <c r="B19" t="s">
        <v>14</v>
      </c>
      <c r="C19" s="1" t="s">
        <v>13</v>
      </c>
      <c r="D19" s="1">
        <v>143.66</v>
      </c>
      <c r="E19" s="7">
        <v>8100</v>
      </c>
      <c r="F19" s="2">
        <f>E19/$E$31</f>
        <v>8.1000000000000003E-2</v>
      </c>
      <c r="G19" s="14">
        <v>0.1</v>
      </c>
      <c r="H19" s="15">
        <f>$E$31*G19</f>
        <v>10000</v>
      </c>
      <c r="I19" s="55">
        <f t="shared" ref="I19:I29" si="7">F19-G19</f>
        <v>-1.9000000000000003E-2</v>
      </c>
      <c r="J19" s="12">
        <f t="shared" ref="J19:J29" si="8">E19-H19</f>
        <v>-1900</v>
      </c>
      <c r="K19" s="47">
        <f t="shared" ref="K19:K29" si="9">IF(I19&lt;0,I19,"")</f>
        <v>-1.9000000000000003E-2</v>
      </c>
      <c r="L19" s="47" t="str">
        <f t="shared" ref="L19:L29" si="10">IF(I19&gt;0,I19,"")</f>
        <v/>
      </c>
      <c r="M19" s="14">
        <v>0.08</v>
      </c>
      <c r="N19" s="14">
        <v>0.12</v>
      </c>
      <c r="O19" s="18" t="str">
        <f t="shared" ref="O19:O24" si="11">IF(F19&lt;M19,F19-M19,"")</f>
        <v/>
      </c>
      <c r="P19" s="59" t="str">
        <f t="shared" ref="P19:P24" si="12">IF(F19&gt;N19,F19-N19,"")</f>
        <v/>
      </c>
      <c r="Q19" s="70"/>
      <c r="R19" s="7"/>
      <c r="Z19" s="47">
        <f>MAX(L19:L29)</f>
        <v>1.8999999999999989E-2</v>
      </c>
      <c r="AA19" t="s">
        <v>86</v>
      </c>
    </row>
    <row r="20" spans="1:35" x14ac:dyDescent="0.35">
      <c r="B20" t="s">
        <v>16</v>
      </c>
      <c r="C20" s="1" t="s">
        <v>4</v>
      </c>
      <c r="D20" s="1">
        <v>255.29</v>
      </c>
      <c r="E20" s="7">
        <v>8300</v>
      </c>
      <c r="F20" s="2">
        <f t="shared" ref="F20:F29" si="13">E20/$E$31</f>
        <v>8.3000000000000004E-2</v>
      </c>
      <c r="G20" s="14">
        <v>0.1</v>
      </c>
      <c r="H20" s="15">
        <f t="shared" ref="H20:H29" si="14">$E$31*G20</f>
        <v>10000</v>
      </c>
      <c r="I20" s="55">
        <f t="shared" si="7"/>
        <v>-1.7000000000000001E-2</v>
      </c>
      <c r="J20" s="12">
        <f t="shared" si="8"/>
        <v>-1700</v>
      </c>
      <c r="K20" s="47">
        <f t="shared" si="9"/>
        <v>-1.7000000000000001E-2</v>
      </c>
      <c r="L20" s="47" t="str">
        <f t="shared" si="10"/>
        <v/>
      </c>
      <c r="M20" s="14">
        <v>0.08</v>
      </c>
      <c r="N20" s="14">
        <v>0.12</v>
      </c>
      <c r="O20" s="18" t="str">
        <f t="shared" si="11"/>
        <v/>
      </c>
      <c r="P20" s="59" t="str">
        <f t="shared" si="12"/>
        <v/>
      </c>
      <c r="Q20" s="70"/>
      <c r="R20" s="7"/>
      <c r="Z20" s="47">
        <f>MIN(K19:K29)</f>
        <v>-1.9000000000000003E-2</v>
      </c>
      <c r="AA20" t="s">
        <v>87</v>
      </c>
    </row>
    <row r="21" spans="1:35" x14ac:dyDescent="0.35">
      <c r="B21" s="8" t="s">
        <v>18</v>
      </c>
      <c r="C21" s="10" t="s">
        <v>19</v>
      </c>
      <c r="D21" s="10">
        <v>140.66999999999999</v>
      </c>
      <c r="E21" s="7">
        <v>8400</v>
      </c>
      <c r="F21" s="2">
        <f t="shared" si="13"/>
        <v>8.4000000000000005E-2</v>
      </c>
      <c r="G21" s="28">
        <v>0.1</v>
      </c>
      <c r="H21" s="15">
        <f t="shared" si="14"/>
        <v>10000</v>
      </c>
      <c r="I21" s="56">
        <f t="shared" si="7"/>
        <v>-1.6E-2</v>
      </c>
      <c r="J21" s="31">
        <f t="shared" si="8"/>
        <v>-1600</v>
      </c>
      <c r="K21" s="48">
        <f t="shared" si="9"/>
        <v>-1.6E-2</v>
      </c>
      <c r="L21" s="48" t="str">
        <f t="shared" si="10"/>
        <v/>
      </c>
      <c r="M21" s="28">
        <v>0.08</v>
      </c>
      <c r="N21" s="28">
        <v>0.12</v>
      </c>
      <c r="O21" s="34" t="str">
        <f t="shared" si="11"/>
        <v/>
      </c>
      <c r="P21" s="59" t="str">
        <f t="shared" si="12"/>
        <v/>
      </c>
      <c r="Q21" s="70"/>
      <c r="R21" s="7"/>
      <c r="Z21" s="47">
        <f>L31</f>
        <v>6.4999999999999974E-2</v>
      </c>
      <c r="AA21" t="s">
        <v>88</v>
      </c>
    </row>
    <row r="22" spans="1:35" x14ac:dyDescent="0.35">
      <c r="B22" t="s">
        <v>9</v>
      </c>
      <c r="C22" s="1" t="s">
        <v>10</v>
      </c>
      <c r="D22" s="1">
        <v>92.49</v>
      </c>
      <c r="E22" s="7">
        <v>9000</v>
      </c>
      <c r="F22" s="2">
        <f t="shared" si="13"/>
        <v>0.09</v>
      </c>
      <c r="G22" s="14">
        <v>0.1</v>
      </c>
      <c r="H22" s="15">
        <f t="shared" si="14"/>
        <v>10000</v>
      </c>
      <c r="I22" s="55">
        <f t="shared" si="7"/>
        <v>-1.0000000000000009E-2</v>
      </c>
      <c r="J22" s="12">
        <f t="shared" si="8"/>
        <v>-1000</v>
      </c>
      <c r="K22" s="47">
        <f t="shared" si="9"/>
        <v>-1.0000000000000009E-2</v>
      </c>
      <c r="L22" s="47" t="str">
        <f t="shared" si="10"/>
        <v/>
      </c>
      <c r="M22" s="14">
        <v>0.08</v>
      </c>
      <c r="N22" s="14">
        <v>0.12</v>
      </c>
      <c r="O22" s="18" t="str">
        <f t="shared" si="11"/>
        <v/>
      </c>
      <c r="P22" s="59" t="str">
        <f t="shared" si="12"/>
        <v/>
      </c>
      <c r="Q22" s="70"/>
      <c r="R22" s="7"/>
      <c r="Z22" s="18">
        <f>O32</f>
        <v>0</v>
      </c>
      <c r="AA22" t="s">
        <v>89</v>
      </c>
    </row>
    <row r="23" spans="1:35" x14ac:dyDescent="0.35">
      <c r="A23" s="6"/>
      <c r="B23" t="s">
        <v>68</v>
      </c>
      <c r="C23" s="1" t="s">
        <v>8</v>
      </c>
      <c r="D23" s="1">
        <v>77.84</v>
      </c>
      <c r="E23" s="7">
        <v>9700</v>
      </c>
      <c r="F23" s="2">
        <f t="shared" si="13"/>
        <v>9.7000000000000003E-2</v>
      </c>
      <c r="G23" s="14">
        <v>0.1</v>
      </c>
      <c r="H23" s="15">
        <f t="shared" si="14"/>
        <v>10000</v>
      </c>
      <c r="I23" s="55">
        <f t="shared" si="7"/>
        <v>-3.0000000000000027E-3</v>
      </c>
      <c r="J23" s="12">
        <f t="shared" si="8"/>
        <v>-300</v>
      </c>
      <c r="K23" s="47">
        <f t="shared" si="9"/>
        <v>-3.0000000000000027E-3</v>
      </c>
      <c r="L23" s="47" t="str">
        <f t="shared" si="10"/>
        <v/>
      </c>
      <c r="M23" s="14">
        <v>0.08</v>
      </c>
      <c r="N23" s="14">
        <v>0.12</v>
      </c>
      <c r="O23" s="18" t="str">
        <f t="shared" si="11"/>
        <v/>
      </c>
      <c r="P23" s="59" t="str">
        <f t="shared" si="12"/>
        <v/>
      </c>
      <c r="Q23" s="70"/>
      <c r="R23" s="7"/>
      <c r="Z23" s="47">
        <f>I32</f>
        <v>1.6265670203682098E-2</v>
      </c>
      <c r="AA23" t="s">
        <v>90</v>
      </c>
    </row>
    <row r="24" spans="1:35" x14ac:dyDescent="0.35">
      <c r="B24" s="8" t="s">
        <v>26</v>
      </c>
      <c r="C24" s="10" t="s">
        <v>25</v>
      </c>
      <c r="D24" s="10">
        <v>112.81</v>
      </c>
      <c r="E24" s="7">
        <v>10000</v>
      </c>
      <c r="F24" s="2">
        <f t="shared" si="13"/>
        <v>0.1</v>
      </c>
      <c r="G24" s="14">
        <v>0.1</v>
      </c>
      <c r="H24" s="15">
        <f t="shared" si="14"/>
        <v>10000</v>
      </c>
      <c r="I24" s="55">
        <f t="shared" si="7"/>
        <v>0</v>
      </c>
      <c r="J24" s="12">
        <f t="shared" si="8"/>
        <v>0</v>
      </c>
      <c r="K24" s="49" t="str">
        <f t="shared" si="9"/>
        <v/>
      </c>
      <c r="L24" s="49" t="str">
        <f t="shared" si="10"/>
        <v/>
      </c>
      <c r="M24" s="14">
        <v>0.08</v>
      </c>
      <c r="N24" s="14">
        <v>0.12</v>
      </c>
      <c r="O24" s="35" t="str">
        <f t="shared" si="11"/>
        <v/>
      </c>
      <c r="P24" s="59" t="str">
        <f t="shared" si="12"/>
        <v/>
      </c>
      <c r="Q24" s="70"/>
      <c r="R24" s="7"/>
      <c r="Z24" s="3"/>
    </row>
    <row r="25" spans="1:35" x14ac:dyDescent="0.35">
      <c r="B25" t="s">
        <v>69</v>
      </c>
      <c r="C25" s="1" t="s">
        <v>12</v>
      </c>
      <c r="D25" s="1">
        <v>27.98</v>
      </c>
      <c r="E25" s="7">
        <v>8400</v>
      </c>
      <c r="F25" s="2">
        <f t="shared" si="13"/>
        <v>8.4000000000000005E-2</v>
      </c>
      <c r="G25" s="14">
        <v>0.08</v>
      </c>
      <c r="H25" s="15">
        <f t="shared" si="14"/>
        <v>8000</v>
      </c>
      <c r="I25" s="55">
        <f t="shared" si="7"/>
        <v>4.0000000000000036E-3</v>
      </c>
      <c r="J25" s="12">
        <f t="shared" si="8"/>
        <v>400</v>
      </c>
      <c r="K25" s="47" t="str">
        <f t="shared" si="9"/>
        <v/>
      </c>
      <c r="L25" s="47">
        <f t="shared" si="10"/>
        <v>4.0000000000000036E-3</v>
      </c>
      <c r="M25" s="14">
        <v>0.06</v>
      </c>
      <c r="N25" s="14">
        <v>0.1</v>
      </c>
      <c r="O25" s="18"/>
      <c r="P25" s="59"/>
      <c r="Q25" s="70"/>
      <c r="R25" s="7"/>
      <c r="Z25" s="1"/>
    </row>
    <row r="26" spans="1:35" x14ac:dyDescent="0.35">
      <c r="B26" t="s">
        <v>65</v>
      </c>
      <c r="C26" s="1" t="s">
        <v>65</v>
      </c>
      <c r="D26" s="1">
        <v>1</v>
      </c>
      <c r="E26" s="7">
        <v>2700</v>
      </c>
      <c r="F26" s="2">
        <f t="shared" si="13"/>
        <v>2.7E-2</v>
      </c>
      <c r="G26" s="14">
        <v>0.02</v>
      </c>
      <c r="H26" s="15">
        <f t="shared" si="14"/>
        <v>2000</v>
      </c>
      <c r="I26" s="55">
        <f t="shared" si="7"/>
        <v>6.9999999999999993E-3</v>
      </c>
      <c r="J26" s="12">
        <f t="shared" si="8"/>
        <v>700</v>
      </c>
      <c r="K26" s="47" t="str">
        <f t="shared" si="9"/>
        <v/>
      </c>
      <c r="L26" s="47">
        <f t="shared" si="10"/>
        <v>6.9999999999999993E-3</v>
      </c>
      <c r="M26" s="14">
        <v>6.0000000000000001E-3</v>
      </c>
      <c r="N26" s="14">
        <v>0.04</v>
      </c>
      <c r="O26" s="18" t="str">
        <f>IF(F26&lt;M26,F26-M26,"")</f>
        <v/>
      </c>
      <c r="P26" s="59" t="str">
        <f>IF(F26&gt;N26,F26-N26,"")</f>
        <v/>
      </c>
      <c r="Q26" s="70"/>
      <c r="R26" s="7"/>
      <c r="Z26" s="118"/>
    </row>
    <row r="27" spans="1:35" x14ac:dyDescent="0.35">
      <c r="B27" t="s">
        <v>17</v>
      </c>
      <c r="C27" s="1" t="s">
        <v>5</v>
      </c>
      <c r="D27" s="1">
        <v>94.9</v>
      </c>
      <c r="E27" s="7">
        <v>11700</v>
      </c>
      <c r="F27" s="2">
        <f t="shared" si="13"/>
        <v>0.11700000000000001</v>
      </c>
      <c r="G27" s="14">
        <v>0.1</v>
      </c>
      <c r="H27" s="15">
        <f t="shared" si="14"/>
        <v>10000</v>
      </c>
      <c r="I27" s="55">
        <f t="shared" si="7"/>
        <v>1.7000000000000001E-2</v>
      </c>
      <c r="J27" s="12">
        <f t="shared" si="8"/>
        <v>1700</v>
      </c>
      <c r="K27" s="47" t="str">
        <f t="shared" si="9"/>
        <v/>
      </c>
      <c r="L27" s="47">
        <f t="shared" si="10"/>
        <v>1.7000000000000001E-2</v>
      </c>
      <c r="M27" s="14">
        <v>0.08</v>
      </c>
      <c r="N27" s="14">
        <v>0.12</v>
      </c>
      <c r="O27" s="18" t="str">
        <f>IF(F27&lt;M27,F27-M27,"")</f>
        <v/>
      </c>
      <c r="P27" s="59" t="str">
        <f>IF(F27&gt;N27,F27-N27,"")</f>
        <v/>
      </c>
      <c r="Q27" s="70"/>
      <c r="R27" s="7"/>
      <c r="T27" s="118"/>
      <c r="U27" s="118"/>
      <c r="V27" s="118"/>
      <c r="W27" s="118"/>
      <c r="X27" s="118"/>
      <c r="Y27" s="118"/>
      <c r="Z27" s="118">
        <f>F19+F20+F21+F24+F27+F28+F29</f>
        <v>0.70199999999999996</v>
      </c>
      <c r="AA27" t="s">
        <v>123</v>
      </c>
    </row>
    <row r="28" spans="1:35" x14ac:dyDescent="0.35">
      <c r="B28" t="s">
        <v>15</v>
      </c>
      <c r="C28" s="1" t="s">
        <v>6</v>
      </c>
      <c r="D28" s="1">
        <v>197.79</v>
      </c>
      <c r="E28" s="7">
        <v>11800</v>
      </c>
      <c r="F28" s="2">
        <f t="shared" si="13"/>
        <v>0.11799999999999999</v>
      </c>
      <c r="G28" s="14">
        <v>0.1</v>
      </c>
      <c r="H28" s="15">
        <f t="shared" si="14"/>
        <v>10000</v>
      </c>
      <c r="I28" s="55">
        <f t="shared" si="7"/>
        <v>1.7999999999999988E-2</v>
      </c>
      <c r="J28" s="12">
        <f t="shared" si="8"/>
        <v>1800</v>
      </c>
      <c r="K28" s="47" t="str">
        <f t="shared" si="9"/>
        <v/>
      </c>
      <c r="L28" s="47">
        <f t="shared" si="10"/>
        <v>1.7999999999999988E-2</v>
      </c>
      <c r="M28" s="14">
        <v>0.08</v>
      </c>
      <c r="N28" s="14">
        <v>0.12</v>
      </c>
      <c r="O28" s="18" t="str">
        <f>IF(F28&lt;M28,F28-M28,"")</f>
        <v/>
      </c>
      <c r="P28" s="59" t="str">
        <f>IF(F28&gt;N28,F28-N28,"")</f>
        <v/>
      </c>
      <c r="Q28" s="70"/>
      <c r="R28" s="7"/>
      <c r="T28" s="118"/>
      <c r="U28" s="118"/>
      <c r="V28" s="118"/>
      <c r="W28" s="118"/>
      <c r="X28" s="118"/>
      <c r="Y28" s="118"/>
      <c r="Z28" s="118">
        <f>F22+F23+F25+F26</f>
        <v>0.29800000000000004</v>
      </c>
      <c r="AA28" t="s">
        <v>124</v>
      </c>
    </row>
    <row r="29" spans="1:35" x14ac:dyDescent="0.35">
      <c r="B29" s="8" t="s">
        <v>21</v>
      </c>
      <c r="C29" s="10" t="s">
        <v>20</v>
      </c>
      <c r="D29" s="10">
        <v>81.81</v>
      </c>
      <c r="E29" s="7">
        <v>11900</v>
      </c>
      <c r="F29" s="2">
        <f t="shared" si="13"/>
        <v>0.11899999999999999</v>
      </c>
      <c r="G29" s="28">
        <v>0.1</v>
      </c>
      <c r="H29" s="15">
        <f t="shared" si="14"/>
        <v>10000</v>
      </c>
      <c r="I29" s="56">
        <f t="shared" si="7"/>
        <v>1.8999999999999989E-2</v>
      </c>
      <c r="J29" s="31">
        <f t="shared" si="8"/>
        <v>1900</v>
      </c>
      <c r="K29" s="48" t="str">
        <f t="shared" si="9"/>
        <v/>
      </c>
      <c r="L29" s="48">
        <f t="shared" si="10"/>
        <v>1.8999999999999989E-2</v>
      </c>
      <c r="M29" s="28">
        <v>0.08</v>
      </c>
      <c r="N29" s="28">
        <v>0.12</v>
      </c>
      <c r="O29" s="34" t="str">
        <f>IF(F29&lt;M29,F29-M29,"")</f>
        <v/>
      </c>
      <c r="P29" s="59" t="str">
        <f>IF(F29&gt;N29,F29-N29,"")</f>
        <v/>
      </c>
      <c r="Q29" s="70"/>
      <c r="R29" s="7"/>
    </row>
    <row r="30" spans="1:35" ht="5.15" customHeight="1" x14ac:dyDescent="0.35">
      <c r="E30" s="7"/>
      <c r="F30" s="2"/>
      <c r="G30" s="16"/>
      <c r="H30" s="16"/>
      <c r="I30" s="55"/>
      <c r="J30" s="13"/>
      <c r="K30" s="47"/>
      <c r="L30" s="47"/>
      <c r="M30" s="16"/>
      <c r="N30" s="16"/>
      <c r="O30" s="1"/>
      <c r="P30" s="60"/>
      <c r="Q30" s="70"/>
    </row>
    <row r="31" spans="1:35" x14ac:dyDescent="0.35">
      <c r="E31" s="9">
        <f>SUM(E19:E29)</f>
        <v>100000</v>
      </c>
      <c r="F31" s="2">
        <f>E31/$E31</f>
        <v>1</v>
      </c>
      <c r="G31" s="14">
        <f>SUM(G19:G29)</f>
        <v>0.99999999999999989</v>
      </c>
      <c r="H31" s="15">
        <f>SUM(H19:H29)</f>
        <v>100000</v>
      </c>
      <c r="I31" s="55">
        <f>J31/$E$15</f>
        <v>0</v>
      </c>
      <c r="J31" s="12">
        <f>SUM(J19:J29)</f>
        <v>0</v>
      </c>
      <c r="K31" s="136">
        <f>SUM(K19:K29)</f>
        <v>-6.5000000000000016E-2</v>
      </c>
      <c r="L31" s="137">
        <f>SUM(L19:L29)</f>
        <v>6.4999999999999974E-2</v>
      </c>
      <c r="M31" s="14"/>
      <c r="N31" s="14"/>
      <c r="O31" s="2">
        <f>SUM(O19:O29)</f>
        <v>0</v>
      </c>
      <c r="P31" s="61">
        <f>SUM(P19:P29)</f>
        <v>0</v>
      </c>
      <c r="Q31" s="71"/>
    </row>
    <row r="32" spans="1:35" x14ac:dyDescent="0.35">
      <c r="H32" s="133" t="s">
        <v>3</v>
      </c>
      <c r="I32" s="135">
        <f t="array" ref="I32">SQRT(MMULT(MMULT(TRANSPOSE(I19:I29),'Risk Stat Calcs (offage order)'!$O$3:$Y$13),I19:I29))</f>
        <v>1.6265670203682098E-2</v>
      </c>
      <c r="K32" s="131" t="s">
        <v>42</v>
      </c>
      <c r="L32" s="132" t="s">
        <v>42</v>
      </c>
      <c r="O32" s="2">
        <f>P31-O31</f>
        <v>0</v>
      </c>
      <c r="P32" s="84" t="s">
        <v>109</v>
      </c>
      <c r="Q32" s="72"/>
    </row>
    <row r="33" spans="1:35" x14ac:dyDescent="0.35">
      <c r="A33" s="36"/>
      <c r="B33" s="36"/>
      <c r="C33" s="36"/>
      <c r="D33" s="36"/>
      <c r="E33" s="38"/>
      <c r="F33" s="37"/>
      <c r="G33" s="36"/>
      <c r="H33" s="36"/>
      <c r="I33" s="37"/>
      <c r="J33" s="37"/>
      <c r="K33" s="37"/>
      <c r="L33" s="37"/>
      <c r="M33" s="36"/>
      <c r="N33" s="36"/>
      <c r="O33" s="36"/>
      <c r="P33" s="85"/>
      <c r="Q33" s="36"/>
      <c r="R33" s="36"/>
      <c r="S33" s="36"/>
      <c r="T33" s="36"/>
      <c r="U33" s="36"/>
      <c r="V33" s="36"/>
      <c r="W33" s="36"/>
      <c r="X33" s="36"/>
      <c r="Y33" s="36"/>
      <c r="Z33" s="36"/>
      <c r="AA33" s="36"/>
      <c r="AB33" s="36"/>
      <c r="AC33" s="36"/>
      <c r="AD33" s="36"/>
      <c r="AE33" s="36"/>
      <c r="AF33" s="36"/>
      <c r="AG33" s="36"/>
      <c r="AH33" s="36"/>
      <c r="AI33" s="36"/>
    </row>
    <row r="34" spans="1:35" s="20" customFormat="1" ht="44" customHeight="1" thickBot="1" x14ac:dyDescent="0.4">
      <c r="B34" s="106" t="s">
        <v>113</v>
      </c>
      <c r="C34" s="92" t="s">
        <v>23</v>
      </c>
      <c r="D34" s="92" t="s">
        <v>24</v>
      </c>
      <c r="E34" s="102" t="s">
        <v>118</v>
      </c>
      <c r="F34" s="92" t="s">
        <v>30</v>
      </c>
      <c r="G34" s="103" t="s">
        <v>27</v>
      </c>
      <c r="H34" s="103" t="s">
        <v>28</v>
      </c>
      <c r="I34" s="104" t="s">
        <v>31</v>
      </c>
      <c r="J34" s="104" t="s">
        <v>32</v>
      </c>
      <c r="K34" s="92" t="s">
        <v>41</v>
      </c>
      <c r="L34" s="92" t="s">
        <v>40</v>
      </c>
      <c r="M34" s="103" t="s">
        <v>43</v>
      </c>
      <c r="N34" s="107" t="s">
        <v>44</v>
      </c>
      <c r="O34" s="92" t="s">
        <v>45</v>
      </c>
      <c r="P34" s="108" t="s">
        <v>46</v>
      </c>
      <c r="Q34" s="102" t="s">
        <v>117</v>
      </c>
      <c r="R34" s="102" t="s">
        <v>116</v>
      </c>
      <c r="S34" s="92" t="s">
        <v>64</v>
      </c>
      <c r="T34" s="104" t="s">
        <v>66</v>
      </c>
      <c r="U34" s="104" t="s">
        <v>67</v>
      </c>
      <c r="V34" s="92" t="s">
        <v>41</v>
      </c>
      <c r="W34" s="92" t="s">
        <v>40</v>
      </c>
      <c r="X34" s="113"/>
      <c r="Y34"/>
      <c r="Z34" s="92" t="s">
        <v>93</v>
      </c>
      <c r="AA34" s="75" t="s">
        <v>94</v>
      </c>
    </row>
    <row r="35" spans="1:35" x14ac:dyDescent="0.35">
      <c r="A35" s="41" t="s">
        <v>0</v>
      </c>
      <c r="B35" t="s">
        <v>14</v>
      </c>
      <c r="C35" s="1" t="s">
        <v>13</v>
      </c>
      <c r="D35" s="1">
        <v>143.66</v>
      </c>
      <c r="E35" s="7">
        <v>8100</v>
      </c>
      <c r="F35" s="2">
        <f>E35/$E$47</f>
        <v>8.1000000000000003E-2</v>
      </c>
      <c r="G35" s="14">
        <v>0.1</v>
      </c>
      <c r="H35" s="15">
        <f>$E$47*G35</f>
        <v>10000</v>
      </c>
      <c r="I35" s="55">
        <f t="shared" ref="I35:I45" si="15">F35-G35</f>
        <v>-1.9000000000000003E-2</v>
      </c>
      <c r="J35" s="31">
        <f t="shared" ref="J35:J45" si="16">E35-H35</f>
        <v>-1900</v>
      </c>
      <c r="K35" s="58">
        <f t="shared" ref="K35:K45" si="17">IF(I35&lt;0,I35,"")</f>
        <v>-1.9000000000000003E-2</v>
      </c>
      <c r="L35" s="58" t="str">
        <f t="shared" ref="L35:L45" si="18">IF(I35&gt;0,I35,"")</f>
        <v/>
      </c>
      <c r="M35" s="14">
        <v>0.08</v>
      </c>
      <c r="N35" s="87">
        <v>0.12</v>
      </c>
      <c r="O35" s="18" t="str">
        <f t="shared" ref="O35:O45" si="19">IF(F35&lt;M35,F35-M35,"")</f>
        <v/>
      </c>
      <c r="P35" s="59" t="str">
        <f t="shared" ref="P35:P45" si="20">IF(F35&gt;N35,F35-N35,"")</f>
        <v/>
      </c>
      <c r="Q35" s="45">
        <f>Q$47*G35</f>
        <v>500</v>
      </c>
      <c r="R35" s="7">
        <f t="shared" ref="R35:R45" si="21">E35+Q35</f>
        <v>8600</v>
      </c>
      <c r="S35" s="2">
        <f t="shared" ref="S35:S45" si="22">R35/$R$47</f>
        <v>8.1904761904761911E-2</v>
      </c>
      <c r="T35" s="11">
        <f t="shared" ref="T35:T45" si="23">S35-G35</f>
        <v>-1.8095238095238095E-2</v>
      </c>
      <c r="U35" s="12">
        <f>R35-$R$47*G35</f>
        <v>-1900</v>
      </c>
      <c r="V35" s="47">
        <f t="shared" ref="V35:V45" si="24">IF(T35&lt;0,T35,"")</f>
        <v>-1.8095238095238095E-2</v>
      </c>
      <c r="W35" s="47" t="str">
        <f>IF(T35&gt;0,T35,"")</f>
        <v/>
      </c>
      <c r="X35" s="47"/>
      <c r="Y35" s="86"/>
      <c r="Z35" s="47">
        <f>MAX(W35:W45)</f>
        <v>1.8095238095238095E-2</v>
      </c>
      <c r="AA35" t="s">
        <v>86</v>
      </c>
    </row>
    <row r="36" spans="1:35" x14ac:dyDescent="0.35">
      <c r="A36" t="s">
        <v>95</v>
      </c>
      <c r="B36" t="s">
        <v>16</v>
      </c>
      <c r="C36" s="1" t="s">
        <v>4</v>
      </c>
      <c r="D36" s="1">
        <v>255.29</v>
      </c>
      <c r="E36" s="7">
        <v>8300</v>
      </c>
      <c r="F36" s="2">
        <f t="shared" ref="F36:F45" si="25">E36/$E$47</f>
        <v>8.3000000000000004E-2</v>
      </c>
      <c r="G36" s="14">
        <v>0.1</v>
      </c>
      <c r="H36" s="15">
        <f t="shared" ref="H36:H45" si="26">$E$47*G36</f>
        <v>10000</v>
      </c>
      <c r="I36" s="55">
        <f t="shared" si="15"/>
        <v>-1.7000000000000001E-2</v>
      </c>
      <c r="J36" s="31">
        <f t="shared" si="16"/>
        <v>-1700</v>
      </c>
      <c r="K36" s="58">
        <f t="shared" si="17"/>
        <v>-1.7000000000000001E-2</v>
      </c>
      <c r="L36" s="58" t="str">
        <f t="shared" si="18"/>
        <v/>
      </c>
      <c r="M36" s="14">
        <v>0.08</v>
      </c>
      <c r="N36" s="87">
        <v>0.12</v>
      </c>
      <c r="O36" s="18" t="str">
        <f t="shared" si="19"/>
        <v/>
      </c>
      <c r="P36" s="59" t="str">
        <f t="shared" si="20"/>
        <v/>
      </c>
      <c r="Q36" s="45">
        <f t="shared" ref="Q36:Q45" si="27">Q$47*G36</f>
        <v>500</v>
      </c>
      <c r="R36" s="7">
        <f t="shared" si="21"/>
        <v>8800</v>
      </c>
      <c r="S36" s="2">
        <f t="shared" si="22"/>
        <v>8.3809523809523806E-2</v>
      </c>
      <c r="T36" s="11">
        <f t="shared" si="23"/>
        <v>-1.61904761904762E-2</v>
      </c>
      <c r="U36" s="12">
        <f t="shared" ref="U36:U45" si="28">R36-$R$47*G36</f>
        <v>-1700</v>
      </c>
      <c r="V36" s="47">
        <f t="shared" si="24"/>
        <v>-1.61904761904762E-2</v>
      </c>
      <c r="W36" s="47"/>
      <c r="X36" s="47"/>
      <c r="Y36" s="86"/>
      <c r="Z36" s="47">
        <f>MIN(V35:V45)</f>
        <v>-1.8095238095238095E-2</v>
      </c>
      <c r="AA36" t="s">
        <v>87</v>
      </c>
    </row>
    <row r="37" spans="1:35" x14ac:dyDescent="0.35">
      <c r="A37" t="s">
        <v>2</v>
      </c>
      <c r="B37" s="8" t="s">
        <v>18</v>
      </c>
      <c r="C37" s="10" t="s">
        <v>19</v>
      </c>
      <c r="D37" s="10">
        <v>140.66999999999999</v>
      </c>
      <c r="E37" s="7">
        <v>8400</v>
      </c>
      <c r="F37" s="2">
        <f t="shared" si="25"/>
        <v>8.4000000000000005E-2</v>
      </c>
      <c r="G37" s="28">
        <v>0.1</v>
      </c>
      <c r="H37" s="15">
        <f t="shared" si="26"/>
        <v>10000</v>
      </c>
      <c r="I37" s="56">
        <f t="shared" si="15"/>
        <v>-1.6E-2</v>
      </c>
      <c r="J37" s="31">
        <f t="shared" si="16"/>
        <v>-1600</v>
      </c>
      <c r="K37" s="48">
        <f t="shared" si="17"/>
        <v>-1.6E-2</v>
      </c>
      <c r="L37" s="48" t="str">
        <f t="shared" si="18"/>
        <v/>
      </c>
      <c r="M37" s="28">
        <v>0.08</v>
      </c>
      <c r="N37" s="88">
        <v>0.12</v>
      </c>
      <c r="O37" s="34" t="str">
        <f t="shared" si="19"/>
        <v/>
      </c>
      <c r="P37" s="59" t="str">
        <f t="shared" si="20"/>
        <v/>
      </c>
      <c r="Q37" s="45">
        <f t="shared" si="27"/>
        <v>500</v>
      </c>
      <c r="R37" s="7">
        <f t="shared" si="21"/>
        <v>8900</v>
      </c>
      <c r="S37" s="2">
        <f t="shared" si="22"/>
        <v>8.4761904761904761E-2</v>
      </c>
      <c r="T37" s="11">
        <f t="shared" si="23"/>
        <v>-1.5238095238095245E-2</v>
      </c>
      <c r="U37" s="12">
        <f t="shared" si="28"/>
        <v>-1600</v>
      </c>
      <c r="V37" s="48">
        <f t="shared" si="24"/>
        <v>-1.5238095238095245E-2</v>
      </c>
      <c r="W37" s="48" t="str">
        <f t="shared" ref="W37:W45" si="29">IF(T37&gt;0,T37,"")</f>
        <v/>
      </c>
      <c r="X37" s="48"/>
      <c r="Y37" s="86"/>
      <c r="Z37" s="47">
        <f>W47</f>
        <v>6.1904761904761893E-2</v>
      </c>
      <c r="AA37" t="s">
        <v>88</v>
      </c>
    </row>
    <row r="38" spans="1:35" x14ac:dyDescent="0.35">
      <c r="A38" t="s">
        <v>3</v>
      </c>
      <c r="B38" t="s">
        <v>9</v>
      </c>
      <c r="C38" s="1" t="s">
        <v>10</v>
      </c>
      <c r="D38" s="1">
        <v>92.49</v>
      </c>
      <c r="E38" s="7">
        <v>9000</v>
      </c>
      <c r="F38" s="2">
        <f t="shared" si="25"/>
        <v>0.09</v>
      </c>
      <c r="G38" s="14">
        <v>0.1</v>
      </c>
      <c r="H38" s="15">
        <f t="shared" si="26"/>
        <v>10000</v>
      </c>
      <c r="I38" s="55">
        <f t="shared" si="15"/>
        <v>-1.0000000000000009E-2</v>
      </c>
      <c r="J38" s="31">
        <f t="shared" si="16"/>
        <v>-1000</v>
      </c>
      <c r="K38" s="58">
        <f t="shared" si="17"/>
        <v>-1.0000000000000009E-2</v>
      </c>
      <c r="L38" s="58" t="str">
        <f t="shared" si="18"/>
        <v/>
      </c>
      <c r="M38" s="14">
        <v>0.08</v>
      </c>
      <c r="N38" s="87">
        <v>0.12</v>
      </c>
      <c r="O38" s="18" t="str">
        <f t="shared" si="19"/>
        <v/>
      </c>
      <c r="P38" s="59" t="str">
        <f t="shared" si="20"/>
        <v/>
      </c>
      <c r="Q38" s="45">
        <f t="shared" si="27"/>
        <v>500</v>
      </c>
      <c r="R38" s="7">
        <f t="shared" si="21"/>
        <v>9500</v>
      </c>
      <c r="S38" s="2">
        <f t="shared" si="22"/>
        <v>9.0476190476190474E-2</v>
      </c>
      <c r="T38" s="11">
        <f t="shared" si="23"/>
        <v>-9.5238095238095316E-3</v>
      </c>
      <c r="U38" s="12">
        <f t="shared" si="28"/>
        <v>-1000</v>
      </c>
      <c r="V38" s="47">
        <f t="shared" si="24"/>
        <v>-9.5238095238095316E-3</v>
      </c>
      <c r="W38" s="47" t="str">
        <f t="shared" si="29"/>
        <v/>
      </c>
      <c r="X38" s="47"/>
      <c r="Y38" s="86"/>
      <c r="Z38" s="18">
        <f>O48</f>
        <v>0</v>
      </c>
      <c r="AA38" t="s">
        <v>89</v>
      </c>
    </row>
    <row r="39" spans="1:35" x14ac:dyDescent="0.35">
      <c r="A39" s="6"/>
      <c r="B39" t="s">
        <v>68</v>
      </c>
      <c r="C39" s="1" t="s">
        <v>8</v>
      </c>
      <c r="D39" s="1">
        <v>77.84</v>
      </c>
      <c r="E39" s="7">
        <v>9700</v>
      </c>
      <c r="F39" s="2">
        <f t="shared" si="25"/>
        <v>9.7000000000000003E-2</v>
      </c>
      <c r="G39" s="14">
        <v>0.1</v>
      </c>
      <c r="H39" s="15">
        <f t="shared" si="26"/>
        <v>10000</v>
      </c>
      <c r="I39" s="55">
        <f t="shared" si="15"/>
        <v>-3.0000000000000027E-3</v>
      </c>
      <c r="J39" s="31">
        <f t="shared" si="16"/>
        <v>-300</v>
      </c>
      <c r="K39" s="58">
        <f t="shared" si="17"/>
        <v>-3.0000000000000027E-3</v>
      </c>
      <c r="L39" s="58" t="str">
        <f t="shared" si="18"/>
        <v/>
      </c>
      <c r="M39" s="14">
        <v>0.08</v>
      </c>
      <c r="N39" s="87">
        <v>0.12</v>
      </c>
      <c r="O39" s="18" t="str">
        <f t="shared" si="19"/>
        <v/>
      </c>
      <c r="P39" s="59" t="str">
        <f t="shared" si="20"/>
        <v/>
      </c>
      <c r="Q39" s="45">
        <f t="shared" si="27"/>
        <v>500</v>
      </c>
      <c r="R39" s="7">
        <f t="shared" si="21"/>
        <v>10200</v>
      </c>
      <c r="S39" s="2">
        <f t="shared" si="22"/>
        <v>9.7142857142857142E-2</v>
      </c>
      <c r="T39" s="11">
        <f t="shared" si="23"/>
        <v>-2.8571428571428636E-3</v>
      </c>
      <c r="U39" s="12">
        <f t="shared" si="28"/>
        <v>-300</v>
      </c>
      <c r="V39" s="47">
        <f t="shared" si="24"/>
        <v>-2.8571428571428636E-3</v>
      </c>
      <c r="W39" s="47" t="str">
        <f t="shared" si="29"/>
        <v/>
      </c>
      <c r="X39" s="47"/>
      <c r="Y39" s="86"/>
      <c r="Z39" s="47">
        <f>T48</f>
        <v>1.5491114479697241E-2</v>
      </c>
      <c r="AA39" t="s">
        <v>90</v>
      </c>
    </row>
    <row r="40" spans="1:35" x14ac:dyDescent="0.35">
      <c r="B40" s="8" t="s">
        <v>26</v>
      </c>
      <c r="C40" s="10" t="s">
        <v>25</v>
      </c>
      <c r="D40" s="10">
        <v>112.81</v>
      </c>
      <c r="E40" s="7">
        <v>10000</v>
      </c>
      <c r="F40" s="2">
        <f t="shared" si="25"/>
        <v>0.1</v>
      </c>
      <c r="G40" s="14">
        <v>0.1</v>
      </c>
      <c r="H40" s="15">
        <f t="shared" si="26"/>
        <v>10000</v>
      </c>
      <c r="I40" s="55">
        <f t="shared" si="15"/>
        <v>0</v>
      </c>
      <c r="J40" s="31">
        <f t="shared" si="16"/>
        <v>0</v>
      </c>
      <c r="K40" s="48" t="str">
        <f t="shared" si="17"/>
        <v/>
      </c>
      <c r="L40" s="48" t="str">
        <f t="shared" si="18"/>
        <v/>
      </c>
      <c r="M40" s="14">
        <v>0.08</v>
      </c>
      <c r="N40" s="87">
        <v>0.12</v>
      </c>
      <c r="O40" s="35" t="str">
        <f t="shared" si="19"/>
        <v/>
      </c>
      <c r="P40" s="59" t="str">
        <f t="shared" si="20"/>
        <v/>
      </c>
      <c r="Q40" s="45">
        <f t="shared" si="27"/>
        <v>500</v>
      </c>
      <c r="R40" s="7">
        <f t="shared" si="21"/>
        <v>10500</v>
      </c>
      <c r="S40" s="2">
        <f t="shared" si="22"/>
        <v>0.1</v>
      </c>
      <c r="T40" s="11">
        <f t="shared" si="23"/>
        <v>0</v>
      </c>
      <c r="U40" s="12">
        <f t="shared" si="28"/>
        <v>0</v>
      </c>
      <c r="V40" s="49" t="str">
        <f t="shared" si="24"/>
        <v/>
      </c>
      <c r="W40" s="49" t="str">
        <f t="shared" si="29"/>
        <v/>
      </c>
      <c r="X40" s="49"/>
      <c r="Y40" s="86"/>
      <c r="Z40" s="3">
        <f>SUM(Q35:Q45)</f>
        <v>5000</v>
      </c>
      <c r="AA40" t="s">
        <v>91</v>
      </c>
    </row>
    <row r="41" spans="1:35" x14ac:dyDescent="0.35">
      <c r="B41" t="s">
        <v>69</v>
      </c>
      <c r="C41" s="1" t="s">
        <v>12</v>
      </c>
      <c r="D41" s="1">
        <v>27.98</v>
      </c>
      <c r="E41" s="7">
        <v>8400</v>
      </c>
      <c r="F41" s="2">
        <f t="shared" si="25"/>
        <v>8.4000000000000005E-2</v>
      </c>
      <c r="G41" s="14">
        <v>0.08</v>
      </c>
      <c r="H41" s="15">
        <f t="shared" si="26"/>
        <v>8000</v>
      </c>
      <c r="I41" s="55">
        <f t="shared" si="15"/>
        <v>4.0000000000000036E-3</v>
      </c>
      <c r="J41" s="31">
        <f t="shared" si="16"/>
        <v>400</v>
      </c>
      <c r="K41" s="58" t="str">
        <f t="shared" si="17"/>
        <v/>
      </c>
      <c r="L41" s="58">
        <f t="shared" si="18"/>
        <v>4.0000000000000036E-3</v>
      </c>
      <c r="M41" s="14">
        <v>0.06</v>
      </c>
      <c r="N41" s="87">
        <v>0.1</v>
      </c>
      <c r="O41" s="18" t="str">
        <f t="shared" si="19"/>
        <v/>
      </c>
      <c r="P41" s="59" t="str">
        <f t="shared" si="20"/>
        <v/>
      </c>
      <c r="Q41" s="45">
        <f t="shared" si="27"/>
        <v>400</v>
      </c>
      <c r="R41" s="7">
        <f t="shared" si="21"/>
        <v>8800</v>
      </c>
      <c r="S41" s="2">
        <f t="shared" si="22"/>
        <v>8.3809523809523806E-2</v>
      </c>
      <c r="T41" s="11">
        <f t="shared" si="23"/>
        <v>3.8095238095238043E-3</v>
      </c>
      <c r="U41" s="12">
        <f t="shared" si="28"/>
        <v>400</v>
      </c>
      <c r="V41" s="47" t="str">
        <f t="shared" si="24"/>
        <v/>
      </c>
      <c r="W41" s="47">
        <f t="shared" si="29"/>
        <v>3.8095238095238043E-3</v>
      </c>
      <c r="X41" s="47"/>
      <c r="Y41" s="86"/>
      <c r="Z41" s="1">
        <f>COUNTIF(Q35:Q45,"&lt;&gt;0")</f>
        <v>11</v>
      </c>
      <c r="AA41" t="s">
        <v>92</v>
      </c>
    </row>
    <row r="42" spans="1:35" x14ac:dyDescent="0.35">
      <c r="B42" t="s">
        <v>65</v>
      </c>
      <c r="C42" s="1" t="s">
        <v>65</v>
      </c>
      <c r="D42" s="42">
        <v>1</v>
      </c>
      <c r="E42" s="7">
        <v>2700</v>
      </c>
      <c r="F42" s="2">
        <f t="shared" si="25"/>
        <v>2.7E-2</v>
      </c>
      <c r="G42" s="14">
        <v>0.02</v>
      </c>
      <c r="H42" s="15">
        <f t="shared" si="26"/>
        <v>2000</v>
      </c>
      <c r="I42" s="55">
        <f t="shared" si="15"/>
        <v>6.9999999999999993E-3</v>
      </c>
      <c r="J42" s="31">
        <f t="shared" si="16"/>
        <v>700</v>
      </c>
      <c r="K42" s="58" t="str">
        <f t="shared" si="17"/>
        <v/>
      </c>
      <c r="L42" s="58">
        <f t="shared" si="18"/>
        <v>6.9999999999999993E-3</v>
      </c>
      <c r="M42" s="14">
        <v>6.0000000000000001E-3</v>
      </c>
      <c r="N42" s="87">
        <v>0.04</v>
      </c>
      <c r="O42" s="18" t="str">
        <f t="shared" si="19"/>
        <v/>
      </c>
      <c r="P42" s="59" t="str">
        <f t="shared" si="20"/>
        <v/>
      </c>
      <c r="Q42" s="45">
        <f t="shared" si="27"/>
        <v>100</v>
      </c>
      <c r="R42" s="7">
        <f t="shared" si="21"/>
        <v>2800</v>
      </c>
      <c r="S42" s="2">
        <f t="shared" si="22"/>
        <v>2.6666666666666668E-2</v>
      </c>
      <c r="T42" s="11">
        <f t="shared" si="23"/>
        <v>6.666666666666668E-3</v>
      </c>
      <c r="U42" s="12">
        <f t="shared" si="28"/>
        <v>700</v>
      </c>
      <c r="V42" s="47" t="str">
        <f t="shared" si="24"/>
        <v/>
      </c>
      <c r="W42" s="47">
        <f t="shared" si="29"/>
        <v>6.666666666666668E-3</v>
      </c>
      <c r="X42" s="47"/>
      <c r="Y42" s="86"/>
    </row>
    <row r="43" spans="1:35" x14ac:dyDescent="0.35">
      <c r="B43" t="s">
        <v>17</v>
      </c>
      <c r="C43" s="1" t="s">
        <v>5</v>
      </c>
      <c r="D43" s="1">
        <v>94.9</v>
      </c>
      <c r="E43" s="7">
        <v>11700</v>
      </c>
      <c r="F43" s="2">
        <f t="shared" si="25"/>
        <v>0.11700000000000001</v>
      </c>
      <c r="G43" s="14">
        <v>0.1</v>
      </c>
      <c r="H43" s="15">
        <f t="shared" si="26"/>
        <v>10000</v>
      </c>
      <c r="I43" s="55">
        <f t="shared" si="15"/>
        <v>1.7000000000000001E-2</v>
      </c>
      <c r="J43" s="31">
        <f t="shared" si="16"/>
        <v>1700</v>
      </c>
      <c r="K43" s="58" t="str">
        <f t="shared" si="17"/>
        <v/>
      </c>
      <c r="L43" s="58">
        <f t="shared" si="18"/>
        <v>1.7000000000000001E-2</v>
      </c>
      <c r="M43" s="14">
        <v>0.08</v>
      </c>
      <c r="N43" s="87">
        <v>0.12</v>
      </c>
      <c r="O43" s="18" t="str">
        <f t="shared" si="19"/>
        <v/>
      </c>
      <c r="P43" s="59" t="str">
        <f t="shared" si="20"/>
        <v/>
      </c>
      <c r="Q43" s="45">
        <f t="shared" si="27"/>
        <v>500</v>
      </c>
      <c r="R43" s="7">
        <f t="shared" si="21"/>
        <v>12200</v>
      </c>
      <c r="S43" s="2">
        <f t="shared" si="22"/>
        <v>0.11619047619047619</v>
      </c>
      <c r="T43" s="11">
        <f t="shared" si="23"/>
        <v>1.6190476190476186E-2</v>
      </c>
      <c r="U43" s="12">
        <f t="shared" si="28"/>
        <v>1700</v>
      </c>
      <c r="V43" s="47" t="str">
        <f t="shared" si="24"/>
        <v/>
      </c>
      <c r="W43" s="47">
        <f t="shared" si="29"/>
        <v>1.6190476190476186E-2</v>
      </c>
      <c r="X43" s="47"/>
      <c r="Y43" s="86"/>
      <c r="Z43" s="118">
        <f>S35+S36+S37+S40+S43+S44+S45</f>
        <v>0.70190476190476192</v>
      </c>
      <c r="AA43" t="s">
        <v>123</v>
      </c>
    </row>
    <row r="44" spans="1:35" x14ac:dyDescent="0.35">
      <c r="B44" t="s">
        <v>15</v>
      </c>
      <c r="C44" s="1" t="s">
        <v>6</v>
      </c>
      <c r="D44" s="1">
        <v>197.79</v>
      </c>
      <c r="E44" s="7">
        <v>11800</v>
      </c>
      <c r="F44" s="2">
        <f t="shared" si="25"/>
        <v>0.11799999999999999</v>
      </c>
      <c r="G44" s="14">
        <v>0.1</v>
      </c>
      <c r="H44" s="15">
        <f t="shared" si="26"/>
        <v>10000</v>
      </c>
      <c r="I44" s="55">
        <f t="shared" si="15"/>
        <v>1.7999999999999988E-2</v>
      </c>
      <c r="J44" s="31">
        <f t="shared" si="16"/>
        <v>1800</v>
      </c>
      <c r="K44" s="58" t="str">
        <f t="shared" si="17"/>
        <v/>
      </c>
      <c r="L44" s="58">
        <f t="shared" si="18"/>
        <v>1.7999999999999988E-2</v>
      </c>
      <c r="M44" s="14">
        <v>0.08</v>
      </c>
      <c r="N44" s="87">
        <v>0.12</v>
      </c>
      <c r="O44" s="18" t="str">
        <f t="shared" si="19"/>
        <v/>
      </c>
      <c r="P44" s="59" t="str">
        <f t="shared" si="20"/>
        <v/>
      </c>
      <c r="Q44" s="45">
        <f t="shared" si="27"/>
        <v>500</v>
      </c>
      <c r="R44" s="7">
        <f t="shared" si="21"/>
        <v>12300</v>
      </c>
      <c r="S44" s="2">
        <f t="shared" si="22"/>
        <v>0.11714285714285715</v>
      </c>
      <c r="T44" s="11">
        <f t="shared" si="23"/>
        <v>1.714285714285714E-2</v>
      </c>
      <c r="U44" s="12">
        <f t="shared" si="28"/>
        <v>1800</v>
      </c>
      <c r="V44" s="47" t="str">
        <f t="shared" si="24"/>
        <v/>
      </c>
      <c r="W44" s="47">
        <f t="shared" si="29"/>
        <v>1.714285714285714E-2</v>
      </c>
      <c r="X44" s="47"/>
      <c r="Y44" s="86"/>
      <c r="Z44" s="118">
        <f>S38+S39+S41+S42</f>
        <v>0.29809523809523814</v>
      </c>
      <c r="AA44" t="s">
        <v>124</v>
      </c>
    </row>
    <row r="45" spans="1:35" x14ac:dyDescent="0.35">
      <c r="B45" s="8" t="s">
        <v>21</v>
      </c>
      <c r="C45" s="10" t="s">
        <v>20</v>
      </c>
      <c r="D45" s="10">
        <v>81.81</v>
      </c>
      <c r="E45" s="7">
        <v>11900</v>
      </c>
      <c r="F45" s="2">
        <f t="shared" si="25"/>
        <v>0.11899999999999999</v>
      </c>
      <c r="G45" s="28">
        <v>0.1</v>
      </c>
      <c r="H45" s="15">
        <f t="shared" si="26"/>
        <v>10000</v>
      </c>
      <c r="I45" s="56">
        <f t="shared" si="15"/>
        <v>1.8999999999999989E-2</v>
      </c>
      <c r="J45" s="31">
        <f t="shared" si="16"/>
        <v>1900</v>
      </c>
      <c r="K45" s="48" t="str">
        <f t="shared" si="17"/>
        <v/>
      </c>
      <c r="L45" s="48">
        <f t="shared" si="18"/>
        <v>1.8999999999999989E-2</v>
      </c>
      <c r="M45" s="28">
        <v>0.08</v>
      </c>
      <c r="N45" s="88">
        <v>0.12</v>
      </c>
      <c r="O45" s="34" t="str">
        <f t="shared" si="19"/>
        <v/>
      </c>
      <c r="P45" s="59" t="str">
        <f t="shared" si="20"/>
        <v/>
      </c>
      <c r="Q45" s="45">
        <f t="shared" si="27"/>
        <v>500</v>
      </c>
      <c r="R45" s="7">
        <f t="shared" si="21"/>
        <v>12400</v>
      </c>
      <c r="S45" s="2">
        <f t="shared" si="22"/>
        <v>0.1180952380952381</v>
      </c>
      <c r="T45" s="11">
        <f t="shared" si="23"/>
        <v>1.8095238095238095E-2</v>
      </c>
      <c r="U45" s="12">
        <f t="shared" si="28"/>
        <v>1900</v>
      </c>
      <c r="V45" s="48" t="str">
        <f t="shared" si="24"/>
        <v/>
      </c>
      <c r="W45" s="48">
        <f t="shared" si="29"/>
        <v>1.8095238095238095E-2</v>
      </c>
      <c r="X45" s="48"/>
      <c r="Y45" s="86"/>
    </row>
    <row r="46" spans="1:35" ht="5.15" customHeight="1" x14ac:dyDescent="0.35">
      <c r="E46" s="7"/>
      <c r="F46" s="2"/>
      <c r="G46" s="16"/>
      <c r="H46" s="16"/>
      <c r="I46" s="55"/>
      <c r="J46" s="13"/>
      <c r="K46" s="47"/>
      <c r="L46" s="47"/>
      <c r="M46" s="16"/>
      <c r="N46" s="89"/>
      <c r="O46" s="1"/>
      <c r="P46" s="60"/>
      <c r="Q46" s="7"/>
      <c r="R46" s="7"/>
      <c r="S46" s="2"/>
      <c r="T46" s="11"/>
      <c r="U46" s="13"/>
      <c r="V46" s="47"/>
      <c r="W46" s="47"/>
      <c r="X46" s="47"/>
    </row>
    <row r="47" spans="1:35" x14ac:dyDescent="0.35">
      <c r="E47" s="9">
        <f>SUM(E35:E45)</f>
        <v>100000</v>
      </c>
      <c r="F47" s="2">
        <f>E47/$E47</f>
        <v>1</v>
      </c>
      <c r="G47" s="14">
        <f>SUM(G35:G45)</f>
        <v>0.99999999999999989</v>
      </c>
      <c r="H47" s="15">
        <f>SUM(H35:H45)</f>
        <v>100000</v>
      </c>
      <c r="I47" s="55">
        <f>F47-G47</f>
        <v>0</v>
      </c>
      <c r="J47" s="12">
        <f>SUM(J35:J45)</f>
        <v>0</v>
      </c>
      <c r="K47" s="136">
        <f>SUM(K35:K45)</f>
        <v>-6.5000000000000016E-2</v>
      </c>
      <c r="L47" s="137">
        <f>SUM(L35:L45)</f>
        <v>6.4999999999999974E-2</v>
      </c>
      <c r="M47" s="14"/>
      <c r="N47" s="87"/>
      <c r="O47" s="2">
        <f>SUM(O35:O45)</f>
        <v>0</v>
      </c>
      <c r="P47" s="61">
        <f>SUM(P35:P45)</f>
        <v>0</v>
      </c>
      <c r="Q47" s="9">
        <v>5000</v>
      </c>
      <c r="R47" s="9">
        <f>SUM(R35:R45)</f>
        <v>105000</v>
      </c>
      <c r="S47" s="2">
        <f t="shared" ref="S47" si="30">R47/$R$47</f>
        <v>1</v>
      </c>
      <c r="T47" s="11">
        <f>-SUM(T35:T45)</f>
        <v>4.163336342344337E-17</v>
      </c>
      <c r="U47" s="12">
        <f>SUM(U35:U45)</f>
        <v>0</v>
      </c>
      <c r="V47" s="136">
        <f>SUM(V35:V45)</f>
        <v>-6.1904761904761935E-2</v>
      </c>
      <c r="W47" s="137">
        <f>SUM(W35:W45)</f>
        <v>6.1904761904761893E-2</v>
      </c>
      <c r="X47" s="52"/>
    </row>
    <row r="48" spans="1:35" x14ac:dyDescent="0.35">
      <c r="H48" s="133" t="s">
        <v>3</v>
      </c>
      <c r="I48" s="135">
        <f t="array" ref="I48">SQRT(MMULT(MMULT(TRANSPOSE(I35:I45),'Risk Stat Calcs (offage order)'!$O$3:$Y$13),I35:I45))</f>
        <v>1.6265670203682098E-2</v>
      </c>
      <c r="K48" s="131" t="s">
        <v>42</v>
      </c>
      <c r="L48" s="132" t="s">
        <v>42</v>
      </c>
      <c r="N48" s="90"/>
      <c r="O48" s="2">
        <f>P47-O47</f>
        <v>0</v>
      </c>
      <c r="P48" s="84" t="s">
        <v>109</v>
      </c>
      <c r="S48" s="133" t="s">
        <v>3</v>
      </c>
      <c r="T48" s="134">
        <f t="array" ref="T48">SQRT(MMULT(MMULT(TRANSPOSE(T35:T45),'Risk Stat Calcs (offage order)'!$O$3:$Y$13),T35:T45))</f>
        <v>1.5491114479697241E-2</v>
      </c>
      <c r="U48" s="1"/>
      <c r="V48" s="131" t="s">
        <v>42</v>
      </c>
      <c r="W48" s="132" t="s">
        <v>42</v>
      </c>
      <c r="X48" s="19"/>
    </row>
    <row r="49" spans="1:35" x14ac:dyDescent="0.35">
      <c r="A49" s="36"/>
      <c r="B49" s="36"/>
      <c r="C49" s="36"/>
      <c r="D49" s="36"/>
      <c r="E49" s="38"/>
      <c r="F49" s="37"/>
      <c r="G49" s="36"/>
      <c r="H49" s="36"/>
      <c r="I49" s="37"/>
      <c r="J49" s="37"/>
      <c r="K49" s="37"/>
      <c r="L49" s="37"/>
      <c r="M49" s="36"/>
      <c r="N49" s="91"/>
      <c r="O49" s="36"/>
      <c r="P49" s="85"/>
      <c r="Q49" s="36"/>
      <c r="R49" s="36"/>
      <c r="S49" s="36"/>
      <c r="T49" s="36"/>
      <c r="U49" s="36"/>
      <c r="V49" s="37"/>
      <c r="W49" s="37"/>
      <c r="X49" s="36"/>
      <c r="Y49" s="36"/>
      <c r="Z49" s="36"/>
      <c r="AA49" s="36"/>
      <c r="AB49" s="36"/>
      <c r="AC49" s="36"/>
      <c r="AD49" s="36"/>
      <c r="AE49" s="36"/>
      <c r="AF49" s="36"/>
      <c r="AG49" s="36"/>
      <c r="AH49" s="36"/>
      <c r="AI49" s="36"/>
    </row>
    <row r="50" spans="1:35" ht="44" thickBot="1" x14ac:dyDescent="0.4">
      <c r="B50" s="106" t="s">
        <v>115</v>
      </c>
      <c r="C50" s="92" t="s">
        <v>23</v>
      </c>
      <c r="D50" s="92" t="s">
        <v>24</v>
      </c>
      <c r="E50" s="102" t="s">
        <v>118</v>
      </c>
      <c r="F50" s="92" t="s">
        <v>30</v>
      </c>
      <c r="G50" s="103" t="s">
        <v>27</v>
      </c>
      <c r="H50" s="103" t="s">
        <v>28</v>
      </c>
      <c r="I50" s="104" t="s">
        <v>31</v>
      </c>
      <c r="J50" s="104" t="s">
        <v>32</v>
      </c>
      <c r="K50" s="92" t="s">
        <v>41</v>
      </c>
      <c r="L50" s="92" t="s">
        <v>40</v>
      </c>
      <c r="M50" s="103" t="s">
        <v>43</v>
      </c>
      <c r="N50" s="107" t="s">
        <v>44</v>
      </c>
      <c r="O50" s="92" t="s">
        <v>45</v>
      </c>
      <c r="P50" s="108" t="s">
        <v>46</v>
      </c>
      <c r="Q50" s="102" t="s">
        <v>117</v>
      </c>
      <c r="R50" s="102" t="s">
        <v>116</v>
      </c>
      <c r="S50" s="92" t="s">
        <v>64</v>
      </c>
      <c r="T50" s="104" t="s">
        <v>66</v>
      </c>
      <c r="U50" s="104" t="s">
        <v>67</v>
      </c>
      <c r="V50" s="92" t="s">
        <v>41</v>
      </c>
      <c r="W50" s="92" t="s">
        <v>40</v>
      </c>
      <c r="X50" s="113"/>
      <c r="Z50" s="75" t="s">
        <v>93</v>
      </c>
      <c r="AA50" s="75" t="s">
        <v>94</v>
      </c>
    </row>
    <row r="51" spans="1:35" x14ac:dyDescent="0.35">
      <c r="A51" s="39" t="s">
        <v>0</v>
      </c>
      <c r="B51" t="s">
        <v>14</v>
      </c>
      <c r="C51" s="1" t="s">
        <v>13</v>
      </c>
      <c r="D51" s="1">
        <v>143.66</v>
      </c>
      <c r="E51" s="7">
        <v>8100</v>
      </c>
      <c r="F51" s="2">
        <f t="shared" ref="F51:F61" si="31">E51/$E$63</f>
        <v>8.1000000000000003E-2</v>
      </c>
      <c r="G51" s="14">
        <v>0.1</v>
      </c>
      <c r="H51" s="15">
        <f>$E$63*G51</f>
        <v>10000</v>
      </c>
      <c r="I51" s="55">
        <f t="shared" ref="I51:I61" si="32">F51-G51</f>
        <v>-1.9000000000000003E-2</v>
      </c>
      <c r="J51" s="43">
        <f t="shared" ref="J51:J61" si="33">E51-H51</f>
        <v>-1900</v>
      </c>
      <c r="K51" s="50">
        <f t="shared" ref="K51:K61" si="34">IF(I51&lt;0,I51,"")</f>
        <v>-1.9000000000000003E-2</v>
      </c>
      <c r="L51" s="47" t="str">
        <f t="shared" ref="L51:L61" si="35">IF(I51&gt;0,I51,"")</f>
        <v/>
      </c>
      <c r="M51" s="14">
        <v>0.08</v>
      </c>
      <c r="N51" s="87">
        <v>0.12</v>
      </c>
      <c r="O51" s="18" t="str">
        <f t="shared" ref="O51:O61" si="36">IF(F51&lt;M51,F51-M51,"")</f>
        <v/>
      </c>
      <c r="P51" s="59" t="str">
        <f t="shared" ref="P51:P61" si="37">IF(F51&gt;N51,F51-N51,"")</f>
        <v/>
      </c>
      <c r="Q51" s="45">
        <v>1900</v>
      </c>
      <c r="R51" s="7">
        <f t="shared" ref="R51:R61" si="38">E51+Q51</f>
        <v>10000</v>
      </c>
      <c r="S51" s="2">
        <f>R51/$R$63</f>
        <v>9.5238095238095233E-2</v>
      </c>
      <c r="T51" s="11">
        <f t="shared" ref="T51:T61" si="39">S51-G51</f>
        <v>-4.7619047619047727E-3</v>
      </c>
      <c r="U51" s="12">
        <f>R51-$R$63*G51</f>
        <v>-500</v>
      </c>
      <c r="V51" s="50">
        <f t="shared" ref="V51:V61" si="40">IF(T51&lt;0,T51,"")</f>
        <v>-4.7619047619047727E-3</v>
      </c>
      <c r="W51" s="47" t="str">
        <f t="shared" ref="W51:W61" si="41">IF(T51&gt;0,T51,"")</f>
        <v/>
      </c>
      <c r="X51" s="47"/>
      <c r="Y51" s="86"/>
      <c r="Z51" s="47">
        <f>MAX(W51:W61)</f>
        <v>1.3333333333333322E-2</v>
      </c>
      <c r="AA51" t="s">
        <v>86</v>
      </c>
    </row>
    <row r="52" spans="1:35" x14ac:dyDescent="0.35">
      <c r="A52" s="40" t="s">
        <v>95</v>
      </c>
      <c r="B52" t="s">
        <v>16</v>
      </c>
      <c r="C52" s="1" t="s">
        <v>4</v>
      </c>
      <c r="D52" s="1">
        <v>255.29</v>
      </c>
      <c r="E52" s="7">
        <v>8300</v>
      </c>
      <c r="F52" s="2">
        <f t="shared" si="31"/>
        <v>8.3000000000000004E-2</v>
      </c>
      <c r="G52" s="14">
        <v>0.1</v>
      </c>
      <c r="H52" s="15">
        <f t="shared" ref="H52:H61" si="42">$E$63*G52</f>
        <v>10000</v>
      </c>
      <c r="I52" s="55">
        <f t="shared" si="32"/>
        <v>-1.7000000000000001E-2</v>
      </c>
      <c r="J52" s="43">
        <f t="shared" si="33"/>
        <v>-1700</v>
      </c>
      <c r="K52" s="50">
        <f t="shared" si="34"/>
        <v>-1.7000000000000001E-2</v>
      </c>
      <c r="L52" s="47" t="str">
        <f t="shared" si="35"/>
        <v/>
      </c>
      <c r="M52" s="14">
        <v>0.08</v>
      </c>
      <c r="N52" s="87">
        <v>0.12</v>
      </c>
      <c r="O52" s="18" t="str">
        <f t="shared" si="36"/>
        <v/>
      </c>
      <c r="P52" s="59" t="str">
        <f t="shared" si="37"/>
        <v/>
      </c>
      <c r="Q52" s="45">
        <v>1700</v>
      </c>
      <c r="R52" s="7">
        <f t="shared" si="38"/>
        <v>10000</v>
      </c>
      <c r="S52" s="2">
        <f t="shared" ref="S52:S61" si="43">R52/$R$63</f>
        <v>9.5238095238095233E-2</v>
      </c>
      <c r="T52" s="11">
        <f t="shared" si="39"/>
        <v>-4.7619047619047727E-3</v>
      </c>
      <c r="U52" s="12">
        <f t="shared" ref="U52:U61" si="44">R52-$R$63*G52</f>
        <v>-500</v>
      </c>
      <c r="V52" s="50">
        <f t="shared" si="40"/>
        <v>-4.7619047619047727E-3</v>
      </c>
      <c r="W52" s="47" t="str">
        <f t="shared" si="41"/>
        <v/>
      </c>
      <c r="X52" s="47"/>
      <c r="Y52" s="86"/>
      <c r="Z52" s="47">
        <f>MIN(V51:V61)</f>
        <v>-1.428571428571429E-2</v>
      </c>
      <c r="AA52" t="s">
        <v>87</v>
      </c>
    </row>
    <row r="53" spans="1:35" x14ac:dyDescent="0.35">
      <c r="A53" t="s">
        <v>2</v>
      </c>
      <c r="B53" s="8" t="s">
        <v>18</v>
      </c>
      <c r="C53" s="10" t="s">
        <v>19</v>
      </c>
      <c r="D53" s="10">
        <v>140.66999999999999</v>
      </c>
      <c r="E53" s="7">
        <v>8400</v>
      </c>
      <c r="F53" s="2">
        <f t="shared" si="31"/>
        <v>8.4000000000000005E-2</v>
      </c>
      <c r="G53" s="28">
        <v>0.1</v>
      </c>
      <c r="H53" s="15">
        <f t="shared" si="42"/>
        <v>10000</v>
      </c>
      <c r="I53" s="56">
        <f t="shared" si="32"/>
        <v>-1.6E-2</v>
      </c>
      <c r="J53" s="43">
        <f t="shared" si="33"/>
        <v>-1600</v>
      </c>
      <c r="K53" s="51">
        <f t="shared" si="34"/>
        <v>-1.6E-2</v>
      </c>
      <c r="L53" s="48" t="str">
        <f t="shared" si="35"/>
        <v/>
      </c>
      <c r="M53" s="28">
        <v>0.08</v>
      </c>
      <c r="N53" s="88">
        <v>0.12</v>
      </c>
      <c r="O53" s="34" t="str">
        <f t="shared" si="36"/>
        <v/>
      </c>
      <c r="P53" s="59" t="str">
        <f t="shared" si="37"/>
        <v/>
      </c>
      <c r="Q53" s="45">
        <v>1400</v>
      </c>
      <c r="R53" s="7">
        <f t="shared" si="38"/>
        <v>9800</v>
      </c>
      <c r="S53" s="2">
        <f t="shared" si="43"/>
        <v>9.3333333333333338E-2</v>
      </c>
      <c r="T53" s="11">
        <f t="shared" si="39"/>
        <v>-6.666666666666668E-3</v>
      </c>
      <c r="U53" s="12">
        <f t="shared" si="44"/>
        <v>-700</v>
      </c>
      <c r="V53" s="51">
        <f t="shared" si="40"/>
        <v>-6.666666666666668E-3</v>
      </c>
      <c r="W53" s="48" t="str">
        <f t="shared" si="41"/>
        <v/>
      </c>
      <c r="X53" s="48"/>
      <c r="Y53" s="86"/>
      <c r="Z53" s="47">
        <f>W63</f>
        <v>4.2857142857142844E-2</v>
      </c>
      <c r="AA53" t="s">
        <v>88</v>
      </c>
    </row>
    <row r="54" spans="1:35" x14ac:dyDescent="0.35">
      <c r="A54" t="s">
        <v>3</v>
      </c>
      <c r="B54" t="s">
        <v>9</v>
      </c>
      <c r="C54" s="1" t="s">
        <v>10</v>
      </c>
      <c r="D54" s="1">
        <v>92.49</v>
      </c>
      <c r="E54" s="7">
        <v>9000</v>
      </c>
      <c r="F54" s="2">
        <f t="shared" si="31"/>
        <v>0.09</v>
      </c>
      <c r="G54" s="14">
        <v>0.1</v>
      </c>
      <c r="H54" s="15">
        <f t="shared" si="42"/>
        <v>10000</v>
      </c>
      <c r="I54" s="55">
        <f t="shared" si="32"/>
        <v>-1.0000000000000009E-2</v>
      </c>
      <c r="J54" s="12">
        <f t="shared" si="33"/>
        <v>-1000</v>
      </c>
      <c r="K54" s="47">
        <f t="shared" si="34"/>
        <v>-1.0000000000000009E-2</v>
      </c>
      <c r="L54" s="47" t="str">
        <f t="shared" si="35"/>
        <v/>
      </c>
      <c r="M54" s="14">
        <v>0.08</v>
      </c>
      <c r="N54" s="87">
        <v>0.12</v>
      </c>
      <c r="O54" s="18" t="str">
        <f t="shared" si="36"/>
        <v/>
      </c>
      <c r="P54" s="59" t="str">
        <f t="shared" si="37"/>
        <v/>
      </c>
      <c r="Q54" s="7">
        <v>0</v>
      </c>
      <c r="R54" s="7">
        <f t="shared" si="38"/>
        <v>9000</v>
      </c>
      <c r="S54" s="2">
        <f t="shared" si="43"/>
        <v>8.5714285714285715E-2</v>
      </c>
      <c r="T54" s="11">
        <f t="shared" si="39"/>
        <v>-1.428571428571429E-2</v>
      </c>
      <c r="U54" s="12">
        <f t="shared" si="44"/>
        <v>-1500</v>
      </c>
      <c r="V54" s="47">
        <f t="shared" si="40"/>
        <v>-1.428571428571429E-2</v>
      </c>
      <c r="W54" s="47" t="str">
        <f t="shared" si="41"/>
        <v/>
      </c>
      <c r="X54" s="47"/>
      <c r="Y54" s="86"/>
      <c r="Z54" s="18">
        <f>O64</f>
        <v>0</v>
      </c>
      <c r="AA54" t="s">
        <v>89</v>
      </c>
    </row>
    <row r="55" spans="1:35" x14ac:dyDescent="0.35">
      <c r="A55" s="6"/>
      <c r="B55" t="s">
        <v>68</v>
      </c>
      <c r="C55" s="1" t="s">
        <v>8</v>
      </c>
      <c r="D55" s="1">
        <v>77.84</v>
      </c>
      <c r="E55" s="7">
        <v>9700</v>
      </c>
      <c r="F55" s="2">
        <f t="shared" si="31"/>
        <v>9.7000000000000003E-2</v>
      </c>
      <c r="G55" s="14">
        <v>0.1</v>
      </c>
      <c r="H55" s="15">
        <f t="shared" si="42"/>
        <v>10000</v>
      </c>
      <c r="I55" s="55">
        <f t="shared" si="32"/>
        <v>-3.0000000000000027E-3</v>
      </c>
      <c r="J55" s="12">
        <f t="shared" si="33"/>
        <v>-300</v>
      </c>
      <c r="K55" s="47">
        <f t="shared" si="34"/>
        <v>-3.0000000000000027E-3</v>
      </c>
      <c r="L55" s="47" t="str">
        <f t="shared" si="35"/>
        <v/>
      </c>
      <c r="M55" s="14">
        <v>0.08</v>
      </c>
      <c r="N55" s="87">
        <v>0.12</v>
      </c>
      <c r="O55" s="18" t="str">
        <f t="shared" si="36"/>
        <v/>
      </c>
      <c r="P55" s="59" t="str">
        <f t="shared" si="37"/>
        <v/>
      </c>
      <c r="Q55" s="7">
        <v>0</v>
      </c>
      <c r="R55" s="7">
        <f t="shared" si="38"/>
        <v>9700</v>
      </c>
      <c r="S55" s="2">
        <f t="shared" si="43"/>
        <v>9.2380952380952383E-2</v>
      </c>
      <c r="T55" s="11">
        <f t="shared" si="39"/>
        <v>-7.6190476190476225E-3</v>
      </c>
      <c r="U55" s="12">
        <f t="shared" si="44"/>
        <v>-800</v>
      </c>
      <c r="V55" s="47">
        <f t="shared" si="40"/>
        <v>-7.6190476190476225E-3</v>
      </c>
      <c r="W55" s="47" t="str">
        <f t="shared" si="41"/>
        <v/>
      </c>
      <c r="X55" s="47"/>
      <c r="Y55" s="86"/>
      <c r="Z55" s="47">
        <f>T64</f>
        <v>1.2117074173436333E-2</v>
      </c>
      <c r="AA55" t="s">
        <v>90</v>
      </c>
    </row>
    <row r="56" spans="1:35" x14ac:dyDescent="0.35">
      <c r="B56" s="8" t="s">
        <v>26</v>
      </c>
      <c r="C56" s="10" t="s">
        <v>25</v>
      </c>
      <c r="D56" s="10">
        <v>112.81</v>
      </c>
      <c r="E56" s="7">
        <v>10000</v>
      </c>
      <c r="F56" s="2">
        <f t="shared" si="31"/>
        <v>0.1</v>
      </c>
      <c r="G56" s="14">
        <v>0.1</v>
      </c>
      <c r="H56" s="15">
        <f t="shared" si="42"/>
        <v>10000</v>
      </c>
      <c r="I56" s="55">
        <f t="shared" si="32"/>
        <v>0</v>
      </c>
      <c r="J56" s="12">
        <f t="shared" si="33"/>
        <v>0</v>
      </c>
      <c r="K56" s="49" t="str">
        <f t="shared" si="34"/>
        <v/>
      </c>
      <c r="L56" s="49" t="str">
        <f t="shared" si="35"/>
        <v/>
      </c>
      <c r="M56" s="14">
        <v>0.08</v>
      </c>
      <c r="N56" s="87">
        <v>0.12</v>
      </c>
      <c r="O56" s="35" t="str">
        <f t="shared" si="36"/>
        <v/>
      </c>
      <c r="P56" s="59" t="str">
        <f t="shared" si="37"/>
        <v/>
      </c>
      <c r="Q56" s="7">
        <v>0</v>
      </c>
      <c r="R56" s="7">
        <f t="shared" si="38"/>
        <v>10000</v>
      </c>
      <c r="S56" s="2">
        <f t="shared" si="43"/>
        <v>9.5238095238095233E-2</v>
      </c>
      <c r="T56" s="11">
        <f t="shared" si="39"/>
        <v>-4.7619047619047727E-3</v>
      </c>
      <c r="U56" s="12">
        <f t="shared" si="44"/>
        <v>-500</v>
      </c>
      <c r="V56" s="49">
        <f t="shared" si="40"/>
        <v>-4.7619047619047727E-3</v>
      </c>
      <c r="W56" s="49" t="str">
        <f t="shared" si="41"/>
        <v/>
      </c>
      <c r="X56" s="49"/>
      <c r="Y56" s="86"/>
      <c r="Z56" s="3">
        <f>SUM(Q51:Q61)</f>
        <v>5000</v>
      </c>
      <c r="AA56" t="s">
        <v>91</v>
      </c>
    </row>
    <row r="57" spans="1:35" x14ac:dyDescent="0.35">
      <c r="B57" t="s">
        <v>69</v>
      </c>
      <c r="C57" s="1" t="s">
        <v>12</v>
      </c>
      <c r="D57" s="1">
        <v>27.98</v>
      </c>
      <c r="E57" s="7">
        <v>8400</v>
      </c>
      <c r="F57" s="2">
        <f t="shared" si="31"/>
        <v>8.4000000000000005E-2</v>
      </c>
      <c r="G57" s="14">
        <v>0.08</v>
      </c>
      <c r="H57" s="15">
        <f t="shared" si="42"/>
        <v>8000</v>
      </c>
      <c r="I57" s="55">
        <f t="shared" si="32"/>
        <v>4.0000000000000036E-3</v>
      </c>
      <c r="J57" s="12">
        <f t="shared" si="33"/>
        <v>400</v>
      </c>
      <c r="K57" s="47" t="str">
        <f t="shared" si="34"/>
        <v/>
      </c>
      <c r="L57" s="47">
        <f t="shared" si="35"/>
        <v>4.0000000000000036E-3</v>
      </c>
      <c r="M57" s="14">
        <v>0.06</v>
      </c>
      <c r="N57" s="87">
        <v>0.1</v>
      </c>
      <c r="O57" s="18" t="str">
        <f t="shared" si="36"/>
        <v/>
      </c>
      <c r="P57" s="59" t="str">
        <f t="shared" si="37"/>
        <v/>
      </c>
      <c r="Q57" s="7">
        <v>0</v>
      </c>
      <c r="R57" s="7">
        <f t="shared" si="38"/>
        <v>8400</v>
      </c>
      <c r="S57" s="2">
        <f t="shared" si="43"/>
        <v>0.08</v>
      </c>
      <c r="T57" s="11">
        <f t="shared" si="39"/>
        <v>0</v>
      </c>
      <c r="U57" s="12">
        <f t="shared" si="44"/>
        <v>0</v>
      </c>
      <c r="V57" s="47" t="str">
        <f t="shared" si="40"/>
        <v/>
      </c>
      <c r="W57" s="47" t="str">
        <f t="shared" si="41"/>
        <v/>
      </c>
      <c r="X57" s="47"/>
      <c r="Y57" s="86"/>
      <c r="Z57" s="1">
        <f>COUNTIF(Q51:Q61,"&lt;&gt;0")</f>
        <v>3</v>
      </c>
      <c r="AA57" t="s">
        <v>92</v>
      </c>
    </row>
    <row r="58" spans="1:35" x14ac:dyDescent="0.35">
      <c r="B58" t="s">
        <v>65</v>
      </c>
      <c r="C58" s="1" t="s">
        <v>65</v>
      </c>
      <c r="D58" s="42">
        <v>1</v>
      </c>
      <c r="E58" s="7">
        <v>2700</v>
      </c>
      <c r="F58" s="2">
        <f t="shared" si="31"/>
        <v>2.7E-2</v>
      </c>
      <c r="G58" s="14">
        <v>0.02</v>
      </c>
      <c r="H58" s="15">
        <f t="shared" si="42"/>
        <v>2000</v>
      </c>
      <c r="I58" s="55">
        <f t="shared" si="32"/>
        <v>6.9999999999999993E-3</v>
      </c>
      <c r="J58" s="12">
        <f t="shared" si="33"/>
        <v>700</v>
      </c>
      <c r="K58" s="47" t="str">
        <f t="shared" si="34"/>
        <v/>
      </c>
      <c r="L58" s="47">
        <f t="shared" si="35"/>
        <v>6.9999999999999993E-3</v>
      </c>
      <c r="M58" s="14">
        <v>6.0000000000000001E-3</v>
      </c>
      <c r="N58" s="87">
        <v>0.04</v>
      </c>
      <c r="O58" s="18" t="str">
        <f t="shared" si="36"/>
        <v/>
      </c>
      <c r="P58" s="59" t="str">
        <f t="shared" si="37"/>
        <v/>
      </c>
      <c r="Q58" s="7">
        <v>0</v>
      </c>
      <c r="R58" s="7">
        <f t="shared" si="38"/>
        <v>2700</v>
      </c>
      <c r="S58" s="2">
        <f t="shared" si="43"/>
        <v>2.5714285714285714E-2</v>
      </c>
      <c r="T58" s="11">
        <f t="shared" si="39"/>
        <v>5.7142857142857134E-3</v>
      </c>
      <c r="U58" s="12">
        <f t="shared" si="44"/>
        <v>600</v>
      </c>
      <c r="V58" s="47" t="str">
        <f t="shared" si="40"/>
        <v/>
      </c>
      <c r="W58" s="47">
        <f t="shared" si="41"/>
        <v>5.7142857142857134E-3</v>
      </c>
      <c r="X58" s="47"/>
      <c r="Y58" s="86"/>
    </row>
    <row r="59" spans="1:35" x14ac:dyDescent="0.35">
      <c r="B59" t="s">
        <v>17</v>
      </c>
      <c r="C59" s="1" t="s">
        <v>5</v>
      </c>
      <c r="D59" s="1">
        <v>94.9</v>
      </c>
      <c r="E59" s="7">
        <v>11700</v>
      </c>
      <c r="F59" s="2">
        <f t="shared" si="31"/>
        <v>0.11700000000000001</v>
      </c>
      <c r="G59" s="14">
        <v>0.1</v>
      </c>
      <c r="H59" s="15">
        <f t="shared" si="42"/>
        <v>10000</v>
      </c>
      <c r="I59" s="55">
        <f t="shared" si="32"/>
        <v>1.7000000000000001E-2</v>
      </c>
      <c r="J59" s="12">
        <f t="shared" si="33"/>
        <v>1700</v>
      </c>
      <c r="K59" s="47" t="str">
        <f t="shared" si="34"/>
        <v/>
      </c>
      <c r="L59" s="47">
        <f t="shared" si="35"/>
        <v>1.7000000000000001E-2</v>
      </c>
      <c r="M59" s="14">
        <v>0.08</v>
      </c>
      <c r="N59" s="87">
        <v>0.12</v>
      </c>
      <c r="O59" s="18" t="str">
        <f t="shared" si="36"/>
        <v/>
      </c>
      <c r="P59" s="59" t="str">
        <f t="shared" si="37"/>
        <v/>
      </c>
      <c r="Q59" s="7">
        <v>0</v>
      </c>
      <c r="R59" s="7">
        <f t="shared" si="38"/>
        <v>11700</v>
      </c>
      <c r="S59" s="2">
        <f t="shared" si="43"/>
        <v>0.11142857142857143</v>
      </c>
      <c r="T59" s="11">
        <f t="shared" si="39"/>
        <v>1.1428571428571427E-2</v>
      </c>
      <c r="U59" s="12">
        <f t="shared" si="44"/>
        <v>1200</v>
      </c>
      <c r="V59" s="47" t="str">
        <f t="shared" si="40"/>
        <v/>
      </c>
      <c r="W59" s="47">
        <f t="shared" si="41"/>
        <v>1.1428571428571427E-2</v>
      </c>
      <c r="X59" s="47"/>
      <c r="Y59" s="86"/>
      <c r="Z59" s="118">
        <f>S51+S52+S53+S56+S59+S60+S61</f>
        <v>0.71619047619047616</v>
      </c>
      <c r="AA59" t="s">
        <v>123</v>
      </c>
    </row>
    <row r="60" spans="1:35" x14ac:dyDescent="0.35">
      <c r="B60" t="s">
        <v>15</v>
      </c>
      <c r="C60" s="1" t="s">
        <v>6</v>
      </c>
      <c r="D60" s="1">
        <v>197.79</v>
      </c>
      <c r="E60" s="7">
        <v>11800</v>
      </c>
      <c r="F60" s="2">
        <f t="shared" si="31"/>
        <v>0.11799999999999999</v>
      </c>
      <c r="G60" s="14">
        <v>0.1</v>
      </c>
      <c r="H60" s="15">
        <f t="shared" si="42"/>
        <v>10000</v>
      </c>
      <c r="I60" s="55">
        <f t="shared" si="32"/>
        <v>1.7999999999999988E-2</v>
      </c>
      <c r="J60" s="12">
        <f t="shared" si="33"/>
        <v>1800</v>
      </c>
      <c r="K60" s="47" t="str">
        <f t="shared" si="34"/>
        <v/>
      </c>
      <c r="L60" s="47">
        <f t="shared" si="35"/>
        <v>1.7999999999999988E-2</v>
      </c>
      <c r="M60" s="14">
        <v>0.08</v>
      </c>
      <c r="N60" s="87">
        <v>0.12</v>
      </c>
      <c r="O60" s="18" t="str">
        <f t="shared" si="36"/>
        <v/>
      </c>
      <c r="P60" s="59" t="str">
        <f t="shared" si="37"/>
        <v/>
      </c>
      <c r="Q60" s="7">
        <v>0</v>
      </c>
      <c r="R60" s="7">
        <f t="shared" si="38"/>
        <v>11800</v>
      </c>
      <c r="S60" s="2">
        <f t="shared" si="43"/>
        <v>0.11238095238095239</v>
      </c>
      <c r="T60" s="11">
        <f t="shared" si="39"/>
        <v>1.2380952380952381E-2</v>
      </c>
      <c r="U60" s="12">
        <f t="shared" si="44"/>
        <v>1300</v>
      </c>
      <c r="V60" s="47" t="str">
        <f t="shared" si="40"/>
        <v/>
      </c>
      <c r="W60" s="47">
        <f t="shared" si="41"/>
        <v>1.2380952380952381E-2</v>
      </c>
      <c r="X60" s="47"/>
      <c r="Y60" s="86"/>
      <c r="Z60" s="118">
        <f>S54+S55+S57+S58</f>
        <v>0.28380952380952379</v>
      </c>
      <c r="AA60" t="s">
        <v>124</v>
      </c>
    </row>
    <row r="61" spans="1:35" x14ac:dyDescent="0.35">
      <c r="B61" s="8" t="s">
        <v>21</v>
      </c>
      <c r="C61" s="10" t="s">
        <v>20</v>
      </c>
      <c r="D61" s="10">
        <v>81.81</v>
      </c>
      <c r="E61" s="7">
        <v>11900</v>
      </c>
      <c r="F61" s="2">
        <f t="shared" si="31"/>
        <v>0.11899999999999999</v>
      </c>
      <c r="G61" s="28">
        <v>0.1</v>
      </c>
      <c r="H61" s="15">
        <f t="shared" si="42"/>
        <v>10000</v>
      </c>
      <c r="I61" s="56">
        <f t="shared" si="32"/>
        <v>1.8999999999999989E-2</v>
      </c>
      <c r="J61" s="31">
        <f t="shared" si="33"/>
        <v>1900</v>
      </c>
      <c r="K61" s="48" t="str">
        <f t="shared" si="34"/>
        <v/>
      </c>
      <c r="L61" s="48">
        <f t="shared" si="35"/>
        <v>1.8999999999999989E-2</v>
      </c>
      <c r="M61" s="28">
        <v>0.08</v>
      </c>
      <c r="N61" s="88">
        <v>0.12</v>
      </c>
      <c r="O61" s="34" t="str">
        <f t="shared" si="36"/>
        <v/>
      </c>
      <c r="P61" s="59" t="str">
        <f t="shared" si="37"/>
        <v/>
      </c>
      <c r="Q61" s="7">
        <v>0</v>
      </c>
      <c r="R61" s="7">
        <f t="shared" si="38"/>
        <v>11900</v>
      </c>
      <c r="S61" s="2">
        <f t="shared" si="43"/>
        <v>0.11333333333333333</v>
      </c>
      <c r="T61" s="11">
        <f t="shared" si="39"/>
        <v>1.3333333333333322E-2</v>
      </c>
      <c r="U61" s="12">
        <f t="shared" si="44"/>
        <v>1400</v>
      </c>
      <c r="V61" s="48" t="str">
        <f t="shared" si="40"/>
        <v/>
      </c>
      <c r="W61" s="48">
        <f t="shared" si="41"/>
        <v>1.3333333333333322E-2</v>
      </c>
      <c r="X61" s="48"/>
      <c r="Y61" s="86"/>
    </row>
    <row r="62" spans="1:35" ht="5.25" customHeight="1" x14ac:dyDescent="0.35">
      <c r="E62" s="7"/>
      <c r="F62" s="2"/>
      <c r="G62" s="16"/>
      <c r="H62" s="16"/>
      <c r="I62" s="55"/>
      <c r="J62" s="13"/>
      <c r="K62" s="47"/>
      <c r="L62" s="47"/>
      <c r="M62" s="16"/>
      <c r="N62" s="89"/>
      <c r="O62" s="1"/>
      <c r="P62" s="60"/>
      <c r="Q62" s="7"/>
      <c r="R62" s="7"/>
      <c r="S62" s="2"/>
      <c r="T62" s="11"/>
      <c r="U62" s="13"/>
      <c r="V62" s="47"/>
      <c r="W62" s="47"/>
      <c r="X62" s="47"/>
    </row>
    <row r="63" spans="1:35" x14ac:dyDescent="0.35">
      <c r="E63" s="9">
        <f>SUM(E51:E61)</f>
        <v>100000</v>
      </c>
      <c r="F63" s="2">
        <f>E63/$E63</f>
        <v>1</v>
      </c>
      <c r="G63" s="14">
        <f>SUM(G51:G61)</f>
        <v>0.99999999999999989</v>
      </c>
      <c r="H63" s="15">
        <f>SUM(H51:H61)</f>
        <v>100000</v>
      </c>
      <c r="I63" s="55">
        <f>F63-G63</f>
        <v>0</v>
      </c>
      <c r="J63" s="12">
        <f>SUM(J51:J61)</f>
        <v>0</v>
      </c>
      <c r="K63" s="136">
        <f>SUM(K51:K61)</f>
        <v>-6.5000000000000016E-2</v>
      </c>
      <c r="L63" s="137">
        <f>SUM(L51:L61)</f>
        <v>6.4999999999999974E-2</v>
      </c>
      <c r="M63" s="14"/>
      <c r="N63" s="87"/>
      <c r="O63" s="2">
        <f>SUM(O51:O61)</f>
        <v>0</v>
      </c>
      <c r="P63" s="61">
        <f>SUM(P51:P61)</f>
        <v>0</v>
      </c>
      <c r="Q63" s="9">
        <f>SUM(Q51:Q61)</f>
        <v>5000</v>
      </c>
      <c r="R63" s="9">
        <f>SUM(R51:R61)</f>
        <v>105000</v>
      </c>
      <c r="S63" s="2">
        <f t="shared" ref="S63" si="45">R63/$R$47</f>
        <v>1</v>
      </c>
      <c r="T63" s="11">
        <f>-SUM(T51:T61)</f>
        <v>5.5511151231257827E-17</v>
      </c>
      <c r="U63" s="12">
        <f>SUM(U51:U61)</f>
        <v>0</v>
      </c>
      <c r="V63" s="136">
        <f>SUM(V51:V61)</f>
        <v>-4.2857142857142899E-2</v>
      </c>
      <c r="W63" s="137">
        <f>SUM(W51:W61)</f>
        <v>4.2857142857142844E-2</v>
      </c>
      <c r="X63" s="52"/>
    </row>
    <row r="64" spans="1:35" x14ac:dyDescent="0.35">
      <c r="H64" s="133" t="s">
        <v>3</v>
      </c>
      <c r="I64" s="135">
        <f t="array" ref="I64">SQRT(MMULT(MMULT(TRANSPOSE(I51:I61),'Risk Stat Calcs (offage order)'!$O$3:$Y$13),I51:I61))</f>
        <v>1.6265670203682098E-2</v>
      </c>
      <c r="K64" s="131" t="s">
        <v>42</v>
      </c>
      <c r="L64" s="132" t="s">
        <v>42</v>
      </c>
      <c r="N64" s="90"/>
      <c r="O64" s="2">
        <f>P63-O63</f>
        <v>0</v>
      </c>
      <c r="P64" s="84" t="s">
        <v>109</v>
      </c>
      <c r="S64" s="133" t="s">
        <v>3</v>
      </c>
      <c r="T64" s="134">
        <f t="array" ref="T64">SQRT(MMULT(MMULT(TRANSPOSE(T51:T61),'Risk Stat Calcs (offage order)'!$O$3:$Y$13),T51:T61))</f>
        <v>1.2117074173436333E-2</v>
      </c>
      <c r="U64" s="1"/>
      <c r="V64" s="131" t="s">
        <v>42</v>
      </c>
      <c r="W64" s="132" t="s">
        <v>42</v>
      </c>
      <c r="X64" s="53"/>
    </row>
    <row r="65" spans="1:35" x14ac:dyDescent="0.35">
      <c r="A65" s="36"/>
      <c r="B65" s="36"/>
      <c r="C65" s="36"/>
      <c r="D65" s="36"/>
      <c r="E65" s="38"/>
      <c r="F65" s="37"/>
      <c r="G65" s="36"/>
      <c r="H65" s="36"/>
      <c r="I65" s="57"/>
      <c r="J65" s="37"/>
      <c r="K65" s="57"/>
      <c r="L65" s="57"/>
      <c r="M65" s="36"/>
      <c r="N65" s="91"/>
      <c r="O65" s="36"/>
      <c r="P65" s="85"/>
      <c r="Q65" s="36"/>
      <c r="R65" s="36"/>
      <c r="S65" s="36"/>
      <c r="T65" s="36"/>
      <c r="U65" s="36"/>
      <c r="V65" s="54"/>
      <c r="W65" s="54"/>
      <c r="X65" s="54"/>
      <c r="Y65" s="36"/>
      <c r="Z65" s="36"/>
      <c r="AA65" s="36"/>
      <c r="AB65" s="36"/>
      <c r="AC65" s="36"/>
      <c r="AD65" s="36"/>
      <c r="AE65" s="36"/>
      <c r="AF65" s="36"/>
      <c r="AG65" s="36"/>
      <c r="AH65" s="36"/>
      <c r="AI65" s="36"/>
    </row>
    <row r="66" spans="1:35" ht="44" customHeight="1" thickBot="1" x14ac:dyDescent="0.4">
      <c r="B66" s="106" t="s">
        <v>120</v>
      </c>
      <c r="C66" s="92" t="s">
        <v>23</v>
      </c>
      <c r="D66" s="92" t="s">
        <v>24</v>
      </c>
      <c r="E66" s="102" t="s">
        <v>118</v>
      </c>
      <c r="F66" s="92" t="s">
        <v>30</v>
      </c>
      <c r="G66" s="103" t="s">
        <v>27</v>
      </c>
      <c r="H66" s="103" t="s">
        <v>28</v>
      </c>
      <c r="I66" s="109" t="s">
        <v>31</v>
      </c>
      <c r="J66" s="104" t="s">
        <v>32</v>
      </c>
      <c r="K66" s="110" t="s">
        <v>41</v>
      </c>
      <c r="L66" s="110" t="s">
        <v>40</v>
      </c>
      <c r="M66" s="103" t="s">
        <v>43</v>
      </c>
      <c r="N66" s="107" t="s">
        <v>44</v>
      </c>
      <c r="O66" s="92" t="s">
        <v>45</v>
      </c>
      <c r="P66" s="108" t="s">
        <v>46</v>
      </c>
      <c r="Q66" s="102" t="s">
        <v>117</v>
      </c>
      <c r="R66" s="102" t="s">
        <v>116</v>
      </c>
      <c r="S66" s="92" t="s">
        <v>64</v>
      </c>
      <c r="T66" s="104" t="s">
        <v>66</v>
      </c>
      <c r="U66" s="104" t="s">
        <v>67</v>
      </c>
      <c r="V66" s="110" t="s">
        <v>41</v>
      </c>
      <c r="W66" s="110" t="s">
        <v>40</v>
      </c>
      <c r="X66" s="114"/>
      <c r="Z66" s="75" t="s">
        <v>93</v>
      </c>
      <c r="AA66" s="75" t="s">
        <v>94</v>
      </c>
    </row>
    <row r="67" spans="1:35" x14ac:dyDescent="0.35">
      <c r="A67" s="39" t="s">
        <v>0</v>
      </c>
      <c r="B67" t="s">
        <v>14</v>
      </c>
      <c r="C67" s="1" t="s">
        <v>13</v>
      </c>
      <c r="D67" s="1">
        <v>143.66</v>
      </c>
      <c r="E67" s="7">
        <v>8100</v>
      </c>
      <c r="F67" s="2">
        <f>E67/$E$79</f>
        <v>8.1000000000000003E-2</v>
      </c>
      <c r="G67" s="14">
        <v>0.1</v>
      </c>
      <c r="H67" s="15">
        <f>$E$79*G67</f>
        <v>10000</v>
      </c>
      <c r="I67" s="56">
        <f t="shared" ref="I67:I77" si="46">F67-G67</f>
        <v>-1.9000000000000003E-2</v>
      </c>
      <c r="J67" s="31">
        <f t="shared" ref="J67:J77" si="47">E67-H67</f>
        <v>-1900</v>
      </c>
      <c r="K67" s="58">
        <f t="shared" ref="K67:K77" si="48">IF(I67&lt;0,I67,"")</f>
        <v>-1.9000000000000003E-2</v>
      </c>
      <c r="L67" s="58" t="str">
        <f t="shared" ref="L67:L77" si="49">IF(I67&gt;0,I67,"")</f>
        <v/>
      </c>
      <c r="M67" s="28">
        <v>0.08</v>
      </c>
      <c r="N67" s="88">
        <v>0.12</v>
      </c>
      <c r="O67" s="32" t="str">
        <f t="shared" ref="O67:O77" si="50">IF(F67&lt;M67,F67-M67,"")</f>
        <v/>
      </c>
      <c r="P67" s="63" t="str">
        <f t="shared" ref="P67:P77" si="51">IF(F67&gt;N67,F67-N67,"")</f>
        <v/>
      </c>
      <c r="Q67" s="45">
        <v>1600</v>
      </c>
      <c r="R67" s="46">
        <f t="shared" ref="R67:R77" si="52">E67+Q67</f>
        <v>9700</v>
      </c>
      <c r="S67" s="2">
        <f>R67/$R$79</f>
        <v>9.2380952380952383E-2</v>
      </c>
      <c r="T67" s="11">
        <f t="shared" ref="T67:T77" si="53">S67-G67</f>
        <v>-7.6190476190476225E-3</v>
      </c>
      <c r="U67" s="12">
        <f>R67-$R$79*G67</f>
        <v>-800</v>
      </c>
      <c r="V67" s="50">
        <f t="shared" ref="V67:V77" si="54">IF(T67&lt;0,T67,"")</f>
        <v>-7.6190476190476225E-3</v>
      </c>
      <c r="W67" s="47" t="str">
        <f t="shared" ref="W67:W77" si="55">IF(T67&gt;0,T67,"")</f>
        <v/>
      </c>
      <c r="X67" s="47"/>
      <c r="Y67" s="86"/>
      <c r="Z67" s="47">
        <f>MAX(W67:W77)</f>
        <v>1.3333333333333322E-2</v>
      </c>
      <c r="AA67" t="s">
        <v>86</v>
      </c>
    </row>
    <row r="68" spans="1:35" x14ac:dyDescent="0.35">
      <c r="A68" t="s">
        <v>95</v>
      </c>
      <c r="B68" t="s">
        <v>16</v>
      </c>
      <c r="C68" s="1" t="s">
        <v>4</v>
      </c>
      <c r="D68" s="1">
        <v>255.29</v>
      </c>
      <c r="E68" s="7">
        <v>8300</v>
      </c>
      <c r="F68" s="2">
        <f t="shared" ref="F68:F77" si="56">E68/$E$79</f>
        <v>8.3000000000000004E-2</v>
      </c>
      <c r="G68" s="14">
        <v>0.1</v>
      </c>
      <c r="H68" s="15">
        <f t="shared" ref="H68:H77" si="57">$E$79*G68</f>
        <v>10000</v>
      </c>
      <c r="I68" s="56">
        <f t="shared" si="46"/>
        <v>-1.7000000000000001E-2</v>
      </c>
      <c r="J68" s="31">
        <f t="shared" si="47"/>
        <v>-1700</v>
      </c>
      <c r="K68" s="58">
        <f t="shared" si="48"/>
        <v>-1.7000000000000001E-2</v>
      </c>
      <c r="L68" s="58" t="str">
        <f t="shared" si="49"/>
        <v/>
      </c>
      <c r="M68" s="28">
        <v>0.08</v>
      </c>
      <c r="N68" s="88">
        <v>0.12</v>
      </c>
      <c r="O68" s="32" t="str">
        <f t="shared" si="50"/>
        <v/>
      </c>
      <c r="P68" s="63" t="str">
        <f t="shared" si="51"/>
        <v/>
      </c>
      <c r="Q68" s="45">
        <v>1400</v>
      </c>
      <c r="R68" s="46">
        <f t="shared" si="52"/>
        <v>9700</v>
      </c>
      <c r="S68" s="2">
        <f t="shared" ref="S68:S77" si="58">R68/$R$79</f>
        <v>9.2380952380952383E-2</v>
      </c>
      <c r="T68" s="11">
        <f t="shared" si="53"/>
        <v>-7.6190476190476225E-3</v>
      </c>
      <c r="U68" s="12">
        <f t="shared" ref="U68:U77" si="59">R68-$R$79*G68</f>
        <v>-800</v>
      </c>
      <c r="V68" s="50">
        <f t="shared" si="54"/>
        <v>-7.6190476190476225E-3</v>
      </c>
      <c r="W68" s="47" t="str">
        <f t="shared" si="55"/>
        <v/>
      </c>
      <c r="X68" s="47"/>
      <c r="Y68" s="86"/>
      <c r="Z68" s="47">
        <f>MIN(V67:V77)</f>
        <v>-7.6190476190476225E-3</v>
      </c>
      <c r="AA68" t="s">
        <v>87</v>
      </c>
    </row>
    <row r="69" spans="1:35" x14ac:dyDescent="0.35">
      <c r="A69" s="40" t="s">
        <v>2</v>
      </c>
      <c r="B69" s="8" t="s">
        <v>18</v>
      </c>
      <c r="C69" s="10" t="s">
        <v>19</v>
      </c>
      <c r="D69" s="10">
        <v>140.66999999999999</v>
      </c>
      <c r="E69" s="7">
        <v>8400</v>
      </c>
      <c r="F69" s="2">
        <f t="shared" si="56"/>
        <v>8.4000000000000005E-2</v>
      </c>
      <c r="G69" s="28">
        <v>0.1</v>
      </c>
      <c r="H69" s="15">
        <f t="shared" si="57"/>
        <v>10000</v>
      </c>
      <c r="I69" s="56">
        <f t="shared" si="46"/>
        <v>-1.6E-2</v>
      </c>
      <c r="J69" s="31">
        <f t="shared" si="47"/>
        <v>-1600</v>
      </c>
      <c r="K69" s="48">
        <f t="shared" si="48"/>
        <v>-1.6E-2</v>
      </c>
      <c r="L69" s="48" t="str">
        <f t="shared" si="49"/>
        <v/>
      </c>
      <c r="M69" s="28">
        <v>0.08</v>
      </c>
      <c r="N69" s="88">
        <v>0.12</v>
      </c>
      <c r="O69" s="34" t="str">
        <f t="shared" si="50"/>
        <v/>
      </c>
      <c r="P69" s="63" t="str">
        <f t="shared" si="51"/>
        <v/>
      </c>
      <c r="Q69" s="45">
        <v>1300</v>
      </c>
      <c r="R69" s="46">
        <f t="shared" si="52"/>
        <v>9700</v>
      </c>
      <c r="S69" s="2">
        <f t="shared" si="58"/>
        <v>9.2380952380952383E-2</v>
      </c>
      <c r="T69" s="11">
        <f t="shared" si="53"/>
        <v>-7.6190476190476225E-3</v>
      </c>
      <c r="U69" s="12">
        <f t="shared" si="59"/>
        <v>-800</v>
      </c>
      <c r="V69" s="51">
        <f t="shared" si="54"/>
        <v>-7.6190476190476225E-3</v>
      </c>
      <c r="W69" s="48" t="str">
        <f t="shared" si="55"/>
        <v/>
      </c>
      <c r="X69" s="48"/>
      <c r="Y69" s="86"/>
      <c r="Z69" s="47">
        <f>W79</f>
        <v>4.2857142857142844E-2</v>
      </c>
      <c r="AA69" t="s">
        <v>88</v>
      </c>
    </row>
    <row r="70" spans="1:35" x14ac:dyDescent="0.35">
      <c r="A70" t="s">
        <v>3</v>
      </c>
      <c r="B70" t="s">
        <v>9</v>
      </c>
      <c r="C70" s="1" t="s">
        <v>10</v>
      </c>
      <c r="D70" s="1">
        <v>92.49</v>
      </c>
      <c r="E70" s="7">
        <v>9000</v>
      </c>
      <c r="F70" s="2">
        <f t="shared" si="56"/>
        <v>0.09</v>
      </c>
      <c r="G70" s="14">
        <v>0.1</v>
      </c>
      <c r="H70" s="15">
        <f t="shared" si="57"/>
        <v>10000</v>
      </c>
      <c r="I70" s="55">
        <f t="shared" si="46"/>
        <v>-1.0000000000000009E-2</v>
      </c>
      <c r="J70" s="31">
        <f t="shared" si="47"/>
        <v>-1000</v>
      </c>
      <c r="K70" s="47">
        <f t="shared" si="48"/>
        <v>-1.0000000000000009E-2</v>
      </c>
      <c r="L70" s="47" t="str">
        <f t="shared" si="49"/>
        <v/>
      </c>
      <c r="M70" s="14">
        <v>0.08</v>
      </c>
      <c r="N70" s="87">
        <v>0.12</v>
      </c>
      <c r="O70" s="18" t="str">
        <f t="shared" si="50"/>
        <v/>
      </c>
      <c r="P70" s="59" t="str">
        <f t="shared" si="51"/>
        <v/>
      </c>
      <c r="Q70" s="45">
        <v>700</v>
      </c>
      <c r="R70" s="7">
        <f t="shared" si="52"/>
        <v>9700</v>
      </c>
      <c r="S70" s="2">
        <f t="shared" si="58"/>
        <v>9.2380952380952383E-2</v>
      </c>
      <c r="T70" s="11">
        <f t="shared" si="53"/>
        <v>-7.6190476190476225E-3</v>
      </c>
      <c r="U70" s="12">
        <f t="shared" si="59"/>
        <v>-800</v>
      </c>
      <c r="V70" s="50">
        <f t="shared" si="54"/>
        <v>-7.6190476190476225E-3</v>
      </c>
      <c r="W70" s="47" t="str">
        <f t="shared" si="55"/>
        <v/>
      </c>
      <c r="X70" s="47"/>
      <c r="Y70" s="86"/>
      <c r="Z70" s="18">
        <f>O80</f>
        <v>0</v>
      </c>
      <c r="AA70" t="s">
        <v>89</v>
      </c>
    </row>
    <row r="71" spans="1:35" x14ac:dyDescent="0.35">
      <c r="A71" s="6"/>
      <c r="B71" t="s">
        <v>68</v>
      </c>
      <c r="C71" s="1" t="s">
        <v>8</v>
      </c>
      <c r="D71" s="1">
        <v>77.84</v>
      </c>
      <c r="E71" s="7">
        <v>9700</v>
      </c>
      <c r="F71" s="2">
        <f t="shared" si="56"/>
        <v>9.7000000000000003E-2</v>
      </c>
      <c r="G71" s="14">
        <v>0.1</v>
      </c>
      <c r="H71" s="15">
        <f t="shared" si="57"/>
        <v>10000</v>
      </c>
      <c r="I71" s="55">
        <f t="shared" si="46"/>
        <v>-3.0000000000000027E-3</v>
      </c>
      <c r="J71" s="12">
        <f t="shared" si="47"/>
        <v>-300</v>
      </c>
      <c r="K71" s="47">
        <f t="shared" si="48"/>
        <v>-3.0000000000000027E-3</v>
      </c>
      <c r="L71" s="47" t="str">
        <f t="shared" si="49"/>
        <v/>
      </c>
      <c r="M71" s="14">
        <v>0.08</v>
      </c>
      <c r="N71" s="87">
        <v>0.12</v>
      </c>
      <c r="O71" s="18" t="str">
        <f t="shared" si="50"/>
        <v/>
      </c>
      <c r="P71" s="59" t="str">
        <f t="shared" si="51"/>
        <v/>
      </c>
      <c r="Q71" s="7">
        <v>0</v>
      </c>
      <c r="R71" s="7">
        <f t="shared" si="52"/>
        <v>9700</v>
      </c>
      <c r="S71" s="2">
        <f t="shared" si="58"/>
        <v>9.2380952380952383E-2</v>
      </c>
      <c r="T71" s="11">
        <f t="shared" si="53"/>
        <v>-7.6190476190476225E-3</v>
      </c>
      <c r="U71" s="12">
        <f t="shared" si="59"/>
        <v>-800</v>
      </c>
      <c r="V71" s="50">
        <f t="shared" si="54"/>
        <v>-7.6190476190476225E-3</v>
      </c>
      <c r="W71" s="47" t="str">
        <f t="shared" si="55"/>
        <v/>
      </c>
      <c r="X71" s="47"/>
      <c r="Y71" s="86"/>
      <c r="Z71" s="47">
        <f>T80</f>
        <v>1.1695040359254272E-2</v>
      </c>
      <c r="AA71" t="s">
        <v>90</v>
      </c>
    </row>
    <row r="72" spans="1:35" x14ac:dyDescent="0.35">
      <c r="B72" s="8" t="s">
        <v>26</v>
      </c>
      <c r="C72" s="10" t="s">
        <v>25</v>
      </c>
      <c r="D72" s="10">
        <v>112.81</v>
      </c>
      <c r="E72" s="7">
        <v>10000</v>
      </c>
      <c r="F72" s="2">
        <f t="shared" si="56"/>
        <v>0.1</v>
      </c>
      <c r="G72" s="14">
        <v>0.1</v>
      </c>
      <c r="H72" s="15">
        <f t="shared" si="57"/>
        <v>10000</v>
      </c>
      <c r="I72" s="56">
        <f t="shared" si="46"/>
        <v>0</v>
      </c>
      <c r="J72" s="31">
        <f t="shared" si="47"/>
        <v>0</v>
      </c>
      <c r="K72" s="48" t="str">
        <f t="shared" si="48"/>
        <v/>
      </c>
      <c r="L72" s="48" t="str">
        <f t="shared" si="49"/>
        <v/>
      </c>
      <c r="M72" s="28">
        <v>0.08</v>
      </c>
      <c r="N72" s="88">
        <v>0.12</v>
      </c>
      <c r="O72" s="34" t="str">
        <f t="shared" si="50"/>
        <v/>
      </c>
      <c r="P72" s="63" t="str">
        <f t="shared" si="51"/>
        <v/>
      </c>
      <c r="Q72" s="46">
        <v>0</v>
      </c>
      <c r="R72" s="46">
        <f t="shared" si="52"/>
        <v>10000</v>
      </c>
      <c r="S72" s="2">
        <f t="shared" si="58"/>
        <v>9.5238095238095233E-2</v>
      </c>
      <c r="T72" s="11">
        <f t="shared" si="53"/>
        <v>-4.7619047619047727E-3</v>
      </c>
      <c r="U72" s="12">
        <f t="shared" si="59"/>
        <v>-500</v>
      </c>
      <c r="V72" s="49">
        <f t="shared" si="54"/>
        <v>-4.7619047619047727E-3</v>
      </c>
      <c r="W72" s="49" t="str">
        <f t="shared" si="55"/>
        <v/>
      </c>
      <c r="X72" s="49"/>
      <c r="Y72" s="86"/>
      <c r="Z72" s="3">
        <f>SUM(Q67:Q77)</f>
        <v>5000</v>
      </c>
      <c r="AA72" t="s">
        <v>91</v>
      </c>
    </row>
    <row r="73" spans="1:35" x14ac:dyDescent="0.35">
      <c r="B73" t="s">
        <v>69</v>
      </c>
      <c r="C73" s="1" t="s">
        <v>12</v>
      </c>
      <c r="D73" s="1">
        <v>27.98</v>
      </c>
      <c r="E73" s="7">
        <v>8400</v>
      </c>
      <c r="F73" s="2">
        <f t="shared" si="56"/>
        <v>8.4000000000000005E-2</v>
      </c>
      <c r="G73" s="14">
        <v>0.08</v>
      </c>
      <c r="H73" s="15">
        <f t="shared" si="57"/>
        <v>8000</v>
      </c>
      <c r="I73" s="55">
        <f t="shared" si="46"/>
        <v>4.0000000000000036E-3</v>
      </c>
      <c r="J73" s="12">
        <f t="shared" si="47"/>
        <v>400</v>
      </c>
      <c r="K73" s="47" t="str">
        <f t="shared" si="48"/>
        <v/>
      </c>
      <c r="L73" s="47">
        <f t="shared" si="49"/>
        <v>4.0000000000000036E-3</v>
      </c>
      <c r="M73" s="14">
        <v>0.06</v>
      </c>
      <c r="N73" s="87">
        <v>0.1</v>
      </c>
      <c r="O73" s="18" t="str">
        <f t="shared" si="50"/>
        <v/>
      </c>
      <c r="P73" s="59" t="str">
        <f t="shared" si="51"/>
        <v/>
      </c>
      <c r="Q73" s="7">
        <v>0</v>
      </c>
      <c r="R73" s="7">
        <f t="shared" si="52"/>
        <v>8400</v>
      </c>
      <c r="S73" s="2">
        <f t="shared" si="58"/>
        <v>0.08</v>
      </c>
      <c r="T73" s="11">
        <f t="shared" si="53"/>
        <v>0</v>
      </c>
      <c r="U73" s="12">
        <f t="shared" si="59"/>
        <v>0</v>
      </c>
      <c r="V73" s="47" t="str">
        <f t="shared" si="54"/>
        <v/>
      </c>
      <c r="W73" s="47" t="str">
        <f t="shared" si="55"/>
        <v/>
      </c>
      <c r="X73" s="47"/>
      <c r="Y73" s="86"/>
      <c r="Z73" s="1">
        <f>COUNTIF(Q67:Q77,"&lt;&gt;0")</f>
        <v>4</v>
      </c>
      <c r="AA73" t="s">
        <v>92</v>
      </c>
    </row>
    <row r="74" spans="1:35" x14ac:dyDescent="0.35">
      <c r="B74" t="s">
        <v>65</v>
      </c>
      <c r="C74" s="1" t="s">
        <v>65</v>
      </c>
      <c r="D74" s="42">
        <v>1</v>
      </c>
      <c r="E74" s="7">
        <v>2700</v>
      </c>
      <c r="F74" s="2">
        <f t="shared" si="56"/>
        <v>2.7E-2</v>
      </c>
      <c r="G74" s="14">
        <v>0.02</v>
      </c>
      <c r="H74" s="15">
        <f t="shared" si="57"/>
        <v>2000</v>
      </c>
      <c r="I74" s="55">
        <f t="shared" si="46"/>
        <v>6.9999999999999993E-3</v>
      </c>
      <c r="J74" s="12">
        <f t="shared" si="47"/>
        <v>700</v>
      </c>
      <c r="K74" s="47" t="str">
        <f t="shared" si="48"/>
        <v/>
      </c>
      <c r="L74" s="47">
        <f t="shared" si="49"/>
        <v>6.9999999999999993E-3</v>
      </c>
      <c r="M74" s="14">
        <v>6.0000000000000001E-3</v>
      </c>
      <c r="N74" s="87">
        <v>0.04</v>
      </c>
      <c r="O74" s="18" t="str">
        <f t="shared" si="50"/>
        <v/>
      </c>
      <c r="P74" s="59" t="str">
        <f t="shared" si="51"/>
        <v/>
      </c>
      <c r="Q74" s="7">
        <v>0</v>
      </c>
      <c r="R74" s="7">
        <f t="shared" si="52"/>
        <v>2700</v>
      </c>
      <c r="S74" s="2">
        <f t="shared" si="58"/>
        <v>2.5714285714285714E-2</v>
      </c>
      <c r="T74" s="11">
        <f t="shared" si="53"/>
        <v>5.7142857142857134E-3</v>
      </c>
      <c r="U74" s="12">
        <f t="shared" si="59"/>
        <v>600</v>
      </c>
      <c r="V74" s="47" t="str">
        <f t="shared" si="54"/>
        <v/>
      </c>
      <c r="W74" s="47">
        <f t="shared" si="55"/>
        <v>5.7142857142857134E-3</v>
      </c>
      <c r="X74" s="47"/>
      <c r="Y74" s="86"/>
    </row>
    <row r="75" spans="1:35" x14ac:dyDescent="0.35">
      <c r="B75" t="s">
        <v>17</v>
      </c>
      <c r="C75" s="1" t="s">
        <v>5</v>
      </c>
      <c r="D75" s="1">
        <v>94.9</v>
      </c>
      <c r="E75" s="7">
        <v>11700</v>
      </c>
      <c r="F75" s="2">
        <f t="shared" si="56"/>
        <v>0.11700000000000001</v>
      </c>
      <c r="G75" s="14">
        <v>0.1</v>
      </c>
      <c r="H75" s="15">
        <f t="shared" si="57"/>
        <v>10000</v>
      </c>
      <c r="I75" s="56">
        <f t="shared" si="46"/>
        <v>1.7000000000000001E-2</v>
      </c>
      <c r="J75" s="31">
        <f t="shared" si="47"/>
        <v>1700</v>
      </c>
      <c r="K75" s="58" t="str">
        <f t="shared" si="48"/>
        <v/>
      </c>
      <c r="L75" s="58">
        <f t="shared" si="49"/>
        <v>1.7000000000000001E-2</v>
      </c>
      <c r="M75" s="28">
        <v>0.08</v>
      </c>
      <c r="N75" s="88">
        <v>0.12</v>
      </c>
      <c r="O75" s="32" t="str">
        <f t="shared" si="50"/>
        <v/>
      </c>
      <c r="P75" s="63" t="str">
        <f t="shared" si="51"/>
        <v/>
      </c>
      <c r="Q75" s="46">
        <v>0</v>
      </c>
      <c r="R75" s="46">
        <f t="shared" si="52"/>
        <v>11700</v>
      </c>
      <c r="S75" s="2">
        <f t="shared" si="58"/>
        <v>0.11142857142857143</v>
      </c>
      <c r="T75" s="11">
        <f t="shared" si="53"/>
        <v>1.1428571428571427E-2</v>
      </c>
      <c r="U75" s="12">
        <f t="shared" si="59"/>
        <v>1200</v>
      </c>
      <c r="V75" s="47" t="str">
        <f t="shared" si="54"/>
        <v/>
      </c>
      <c r="W75" s="47">
        <f t="shared" si="55"/>
        <v>1.1428571428571427E-2</v>
      </c>
      <c r="X75" s="47"/>
      <c r="Y75" s="86"/>
      <c r="Z75" s="118">
        <f>S67+S68+S69+S72+S75+S76+S77</f>
        <v>0.70952380952380945</v>
      </c>
      <c r="AA75" t="s">
        <v>123</v>
      </c>
    </row>
    <row r="76" spans="1:35" x14ac:dyDescent="0.35">
      <c r="B76" t="s">
        <v>15</v>
      </c>
      <c r="C76" s="1" t="s">
        <v>6</v>
      </c>
      <c r="D76" s="1">
        <v>197.79</v>
      </c>
      <c r="E76" s="7">
        <v>11800</v>
      </c>
      <c r="F76" s="2">
        <f t="shared" si="56"/>
        <v>0.11799999999999999</v>
      </c>
      <c r="G76" s="14">
        <v>0.1</v>
      </c>
      <c r="H76" s="15">
        <f t="shared" si="57"/>
        <v>10000</v>
      </c>
      <c r="I76" s="56">
        <f t="shared" si="46"/>
        <v>1.7999999999999988E-2</v>
      </c>
      <c r="J76" s="31">
        <f t="shared" si="47"/>
        <v>1800</v>
      </c>
      <c r="K76" s="58" t="str">
        <f t="shared" si="48"/>
        <v/>
      </c>
      <c r="L76" s="58">
        <f t="shared" si="49"/>
        <v>1.7999999999999988E-2</v>
      </c>
      <c r="M76" s="28">
        <v>0.08</v>
      </c>
      <c r="N76" s="88">
        <v>0.12</v>
      </c>
      <c r="O76" s="32" t="str">
        <f t="shared" si="50"/>
        <v/>
      </c>
      <c r="P76" s="63" t="str">
        <f t="shared" si="51"/>
        <v/>
      </c>
      <c r="Q76" s="46">
        <v>0</v>
      </c>
      <c r="R76" s="46">
        <f t="shared" si="52"/>
        <v>11800</v>
      </c>
      <c r="S76" s="2">
        <f t="shared" si="58"/>
        <v>0.11238095238095239</v>
      </c>
      <c r="T76" s="11">
        <f t="shared" si="53"/>
        <v>1.2380952380952381E-2</v>
      </c>
      <c r="U76" s="12">
        <f t="shared" si="59"/>
        <v>1300</v>
      </c>
      <c r="V76" s="47" t="str">
        <f t="shared" si="54"/>
        <v/>
      </c>
      <c r="W76" s="47">
        <f t="shared" si="55"/>
        <v>1.2380952380952381E-2</v>
      </c>
      <c r="X76" s="47"/>
      <c r="Y76" s="86"/>
      <c r="Z76" s="118">
        <f>S70+S71+S73+S74</f>
        <v>0.29047619047619044</v>
      </c>
      <c r="AA76" t="s">
        <v>124</v>
      </c>
    </row>
    <row r="77" spans="1:35" x14ac:dyDescent="0.35">
      <c r="B77" s="8" t="s">
        <v>21</v>
      </c>
      <c r="C77" s="10" t="s">
        <v>20</v>
      </c>
      <c r="D77" s="10">
        <v>81.81</v>
      </c>
      <c r="E77" s="7">
        <v>11900</v>
      </c>
      <c r="F77" s="2">
        <f t="shared" si="56"/>
        <v>0.11899999999999999</v>
      </c>
      <c r="G77" s="28">
        <v>0.1</v>
      </c>
      <c r="H77" s="15">
        <f t="shared" si="57"/>
        <v>10000</v>
      </c>
      <c r="I77" s="56">
        <f t="shared" si="46"/>
        <v>1.8999999999999989E-2</v>
      </c>
      <c r="J77" s="31">
        <f t="shared" si="47"/>
        <v>1900</v>
      </c>
      <c r="K77" s="48" t="str">
        <f t="shared" si="48"/>
        <v/>
      </c>
      <c r="L77" s="48">
        <f t="shared" si="49"/>
        <v>1.8999999999999989E-2</v>
      </c>
      <c r="M77" s="28">
        <v>0.08</v>
      </c>
      <c r="N77" s="88">
        <v>0.12</v>
      </c>
      <c r="O77" s="34" t="str">
        <f t="shared" si="50"/>
        <v/>
      </c>
      <c r="P77" s="63" t="str">
        <f t="shared" si="51"/>
        <v/>
      </c>
      <c r="Q77" s="46">
        <v>0</v>
      </c>
      <c r="R77" s="46">
        <f t="shared" si="52"/>
        <v>11900</v>
      </c>
      <c r="S77" s="2">
        <f t="shared" si="58"/>
        <v>0.11333333333333333</v>
      </c>
      <c r="T77" s="11">
        <f t="shared" si="53"/>
        <v>1.3333333333333322E-2</v>
      </c>
      <c r="U77" s="12">
        <f t="shared" si="59"/>
        <v>1400</v>
      </c>
      <c r="V77" s="48" t="str">
        <f t="shared" si="54"/>
        <v/>
      </c>
      <c r="W77" s="48">
        <f t="shared" si="55"/>
        <v>1.3333333333333322E-2</v>
      </c>
      <c r="X77" s="48"/>
      <c r="Y77" s="86"/>
    </row>
    <row r="78" spans="1:35" ht="5.25" customHeight="1" x14ac:dyDescent="0.35">
      <c r="E78" s="7"/>
      <c r="F78" s="2"/>
      <c r="G78" s="16"/>
      <c r="H78" s="16"/>
      <c r="I78" s="55"/>
      <c r="J78" s="13"/>
      <c r="K78" s="47"/>
      <c r="L78" s="47"/>
      <c r="M78" s="16"/>
      <c r="N78" s="89"/>
      <c r="O78" s="1"/>
      <c r="P78" s="60"/>
      <c r="Q78" s="7"/>
      <c r="R78" s="7"/>
      <c r="S78" s="2"/>
      <c r="T78" s="11"/>
      <c r="U78" s="13"/>
      <c r="V78" s="47"/>
      <c r="W78" s="47"/>
      <c r="X78" s="47"/>
    </row>
    <row r="79" spans="1:35" x14ac:dyDescent="0.35">
      <c r="E79" s="9">
        <f>SUM(E67:E77)</f>
        <v>100000</v>
      </c>
      <c r="F79" s="2">
        <f>E79/$E79</f>
        <v>1</v>
      </c>
      <c r="G79" s="14">
        <f>SUM(G67:G77)</f>
        <v>0.99999999999999989</v>
      </c>
      <c r="H79" s="15">
        <f>SUM(H67:H77)</f>
        <v>100000</v>
      </c>
      <c r="I79" s="55">
        <f>F79-G79</f>
        <v>0</v>
      </c>
      <c r="J79" s="12">
        <f>SUM(J67:J77)</f>
        <v>0</v>
      </c>
      <c r="K79" s="136">
        <f>SUM(K67:K77)</f>
        <v>-6.5000000000000016E-2</v>
      </c>
      <c r="L79" s="137">
        <f>SUM(L67:L77)</f>
        <v>6.4999999999999974E-2</v>
      </c>
      <c r="M79" s="14"/>
      <c r="N79" s="87"/>
      <c r="O79" s="2">
        <f>SUM(O67:O77)</f>
        <v>0</v>
      </c>
      <c r="P79" s="61">
        <f>SUM(P67:P77)</f>
        <v>0</v>
      </c>
      <c r="Q79" s="9">
        <f>SUM(Q67:Q77)</f>
        <v>5000</v>
      </c>
      <c r="R79" s="9">
        <f>SUM(R67:R77)</f>
        <v>105000</v>
      </c>
      <c r="S79" s="2">
        <f t="shared" ref="S79" si="60">R79/$R$47</f>
        <v>1</v>
      </c>
      <c r="T79" s="11">
        <f>-SUM(T67:T77)</f>
        <v>4.163336342344337E-17</v>
      </c>
      <c r="U79" s="12">
        <f>SUM(U67:U77)</f>
        <v>0</v>
      </c>
      <c r="V79" s="136">
        <f>SUM(V67:V77)</f>
        <v>-4.2857142857142885E-2</v>
      </c>
      <c r="W79" s="137">
        <f>SUM(W67:W77)</f>
        <v>4.2857142857142844E-2</v>
      </c>
      <c r="X79" s="52"/>
    </row>
    <row r="80" spans="1:35" x14ac:dyDescent="0.35">
      <c r="H80" s="133" t="s">
        <v>3</v>
      </c>
      <c r="I80" s="135">
        <f t="array" ref="I80">SQRT(MMULT(MMULT(TRANSPOSE(I67:I77),'Risk Stat Calcs (offage order)'!$O$3:$Y$13),I67:I77))</f>
        <v>1.6265670203682098E-2</v>
      </c>
      <c r="K80" s="131" t="s">
        <v>42</v>
      </c>
      <c r="L80" s="132" t="s">
        <v>42</v>
      </c>
      <c r="N80" s="90"/>
      <c r="O80" s="2">
        <f>P79-O79</f>
        <v>0</v>
      </c>
      <c r="P80" s="84" t="s">
        <v>109</v>
      </c>
      <c r="S80" s="133" t="s">
        <v>3</v>
      </c>
      <c r="T80" s="134">
        <f t="array" ref="T80">SQRT(MMULT(MMULT(TRANSPOSE(T67:T77),'Risk Stat Calcs (offage order)'!$O$3:$Y$13),T67:T77))</f>
        <v>1.1695040359254272E-2</v>
      </c>
      <c r="U80" s="1"/>
      <c r="V80" s="131" t="s">
        <v>42</v>
      </c>
      <c r="W80" s="132" t="s">
        <v>42</v>
      </c>
      <c r="X80" s="19"/>
    </row>
    <row r="81" spans="1:37" x14ac:dyDescent="0.35">
      <c r="A81" s="36"/>
      <c r="B81" s="36"/>
      <c r="C81" s="36"/>
      <c r="D81" s="36"/>
      <c r="E81" s="38"/>
      <c r="F81" s="37"/>
      <c r="G81" s="36"/>
      <c r="H81" s="36"/>
      <c r="I81" s="37"/>
      <c r="J81" s="37"/>
      <c r="K81" s="37"/>
      <c r="L81" s="37"/>
      <c r="M81" s="36"/>
      <c r="N81" s="91"/>
      <c r="O81" s="36"/>
      <c r="P81" s="85"/>
      <c r="Q81" s="36"/>
      <c r="R81" s="36"/>
      <c r="S81" s="36"/>
      <c r="T81" s="36"/>
      <c r="U81" s="36"/>
      <c r="V81" s="36"/>
      <c r="W81" s="36"/>
      <c r="X81" s="36"/>
      <c r="Y81" s="36"/>
      <c r="Z81" s="36"/>
      <c r="AA81" s="36"/>
      <c r="AB81" s="36"/>
      <c r="AC81" s="36"/>
      <c r="AD81" s="36"/>
      <c r="AE81" s="36"/>
      <c r="AF81" s="36"/>
      <c r="AG81" s="36"/>
      <c r="AH81" s="36"/>
      <c r="AI81" s="36"/>
    </row>
    <row r="82" spans="1:37" ht="44" customHeight="1" thickBot="1" x14ac:dyDescent="0.4">
      <c r="B82" s="106" t="s">
        <v>125</v>
      </c>
      <c r="C82" s="92" t="s">
        <v>23</v>
      </c>
      <c r="D82" s="92" t="s">
        <v>24</v>
      </c>
      <c r="E82" s="102" t="s">
        <v>118</v>
      </c>
      <c r="F82" s="92" t="s">
        <v>30</v>
      </c>
      <c r="G82" s="103" t="s">
        <v>27</v>
      </c>
      <c r="H82" s="103" t="s">
        <v>28</v>
      </c>
      <c r="I82" s="109" t="s">
        <v>31</v>
      </c>
      <c r="J82" s="104" t="s">
        <v>32</v>
      </c>
      <c r="K82" s="110" t="s">
        <v>41</v>
      </c>
      <c r="L82" s="110" t="s">
        <v>40</v>
      </c>
      <c r="M82" s="103" t="s">
        <v>43</v>
      </c>
      <c r="N82" s="107" t="s">
        <v>44</v>
      </c>
      <c r="O82" s="92" t="s">
        <v>45</v>
      </c>
      <c r="P82" s="108" t="s">
        <v>46</v>
      </c>
      <c r="Q82" s="102" t="s">
        <v>117</v>
      </c>
      <c r="R82" s="102" t="s">
        <v>116</v>
      </c>
      <c r="S82" s="92" t="s">
        <v>64</v>
      </c>
      <c r="T82" s="104" t="s">
        <v>66</v>
      </c>
      <c r="U82" s="104" t="s">
        <v>67</v>
      </c>
      <c r="V82" s="110" t="s">
        <v>41</v>
      </c>
      <c r="W82" s="110" t="s">
        <v>40</v>
      </c>
      <c r="X82" s="115" t="s">
        <v>121</v>
      </c>
      <c r="Y82" s="116" t="s">
        <v>122</v>
      </c>
      <c r="Z82" s="75" t="s">
        <v>93</v>
      </c>
      <c r="AA82" s="75" t="s">
        <v>94</v>
      </c>
      <c r="AJ82" s="74" t="s">
        <v>78</v>
      </c>
    </row>
    <row r="83" spans="1:37" x14ac:dyDescent="0.35">
      <c r="A83" s="39" t="s">
        <v>0</v>
      </c>
      <c r="B83" t="s">
        <v>14</v>
      </c>
      <c r="C83" s="1" t="s">
        <v>13</v>
      </c>
      <c r="D83" s="1">
        <v>143.66</v>
      </c>
      <c r="E83" s="7">
        <v>8100</v>
      </c>
      <c r="F83" s="2">
        <f>E83/$E$95</f>
        <v>8.1000000000000003E-2</v>
      </c>
      <c r="G83" s="14">
        <v>0.1</v>
      </c>
      <c r="H83" s="15">
        <f>$E$95*G83</f>
        <v>10000</v>
      </c>
      <c r="I83" s="56">
        <f t="shared" ref="I83:I93" si="61">F83-G83</f>
        <v>-1.9000000000000003E-2</v>
      </c>
      <c r="J83" s="31">
        <f t="shared" ref="J83:J93" si="62">E83-H83</f>
        <v>-1900</v>
      </c>
      <c r="K83" s="58">
        <f t="shared" ref="K83:K93" si="63">IF(I83&lt;0,I83,"")</f>
        <v>-1.9000000000000003E-2</v>
      </c>
      <c r="L83" s="58" t="str">
        <f t="shared" ref="L83:L93" si="64">IF(I83&gt;0,I83,"")</f>
        <v/>
      </c>
      <c r="M83" s="28">
        <v>0.08</v>
      </c>
      <c r="N83" s="88">
        <v>0.12</v>
      </c>
      <c r="O83" s="32" t="str">
        <f t="shared" ref="O83:O93" si="65">IF(F83&lt;M83,F83-M83,"")</f>
        <v/>
      </c>
      <c r="P83" s="63" t="str">
        <f t="shared" ref="P83:P93" si="66">IF(F83&gt;N83,F83-N83,"")</f>
        <v/>
      </c>
      <c r="Q83" s="45">
        <v>2224.96</v>
      </c>
      <c r="R83" s="46">
        <f t="shared" ref="R83:R93" si="67">E83+Q83</f>
        <v>10324.959999999999</v>
      </c>
      <c r="S83" s="73">
        <f>R83/$R$95</f>
        <v>9.8332952380952368E-2</v>
      </c>
      <c r="T83" s="117">
        <f t="shared" ref="T83:T93" si="68">S83-G83</f>
        <v>-1.6670476190476374E-3</v>
      </c>
      <c r="U83" s="31">
        <f>R83-$R$95*G83</f>
        <v>-175.04000000000087</v>
      </c>
      <c r="V83" s="58">
        <f t="shared" ref="V83:V93" si="69">IF(T83&lt;0,T83,"")</f>
        <v>-1.6670476190476374E-3</v>
      </c>
      <c r="W83" s="58" t="str">
        <f t="shared" ref="W83:W93" si="70">IF(T83&gt;0,T83,"")</f>
        <v/>
      </c>
      <c r="X83" s="32" t="str">
        <f>IF(S83&lt;M83,S83-M83,"")</f>
        <v/>
      </c>
      <c r="Y83" s="63" t="str">
        <f>IF(S83&gt;N83,S83-N83,"")</f>
        <v/>
      </c>
      <c r="Z83" s="47">
        <f>MAX(W83:W93)</f>
        <v>1.3333333333333322E-2</v>
      </c>
      <c r="AA83" t="s">
        <v>86</v>
      </c>
      <c r="AJ83" s="74">
        <f t="shared" ref="AJ83:AJ93" si="71">105000*G83-E83</f>
        <v>2400</v>
      </c>
      <c r="AK83" t="s">
        <v>85</v>
      </c>
    </row>
    <row r="84" spans="1:37" x14ac:dyDescent="0.35">
      <c r="A84" t="s">
        <v>95</v>
      </c>
      <c r="B84" t="s">
        <v>16</v>
      </c>
      <c r="C84" s="1" t="s">
        <v>4</v>
      </c>
      <c r="D84" s="1">
        <v>255.29</v>
      </c>
      <c r="E84" s="7">
        <v>8300</v>
      </c>
      <c r="F84" s="2">
        <f t="shared" ref="F84:F93" si="72">E84/$E$95</f>
        <v>8.3000000000000004E-2</v>
      </c>
      <c r="G84" s="14">
        <v>0.1</v>
      </c>
      <c r="H84" s="15">
        <f t="shared" ref="H84:H93" si="73">$E$95*G84</f>
        <v>10000</v>
      </c>
      <c r="I84" s="56">
        <f t="shared" si="61"/>
        <v>-1.7000000000000001E-2</v>
      </c>
      <c r="J84" s="31">
        <f t="shared" si="62"/>
        <v>-1700</v>
      </c>
      <c r="K84" s="58">
        <f t="shared" si="63"/>
        <v>-1.7000000000000001E-2</v>
      </c>
      <c r="L84" s="58" t="str">
        <f t="shared" si="64"/>
        <v/>
      </c>
      <c r="M84" s="28">
        <v>0.08</v>
      </c>
      <c r="N84" s="88">
        <v>0.12</v>
      </c>
      <c r="O84" s="32" t="str">
        <f t="shared" si="65"/>
        <v/>
      </c>
      <c r="P84" s="63" t="str">
        <f t="shared" si="66"/>
        <v/>
      </c>
      <c r="Q84" s="45">
        <v>102.39</v>
      </c>
      <c r="R84" s="46">
        <f t="shared" si="67"/>
        <v>8402.39</v>
      </c>
      <c r="S84" s="73">
        <f t="shared" ref="S84:S93" si="74">R84/$R$95</f>
        <v>8.0022761904761902E-2</v>
      </c>
      <c r="T84" s="117">
        <f t="shared" si="68"/>
        <v>-1.9977238095238103E-2</v>
      </c>
      <c r="U84" s="31">
        <f t="shared" ref="U84:U93" si="75">R84-$R$95*G84</f>
        <v>-2097.6100000000006</v>
      </c>
      <c r="V84" s="58">
        <f t="shared" si="69"/>
        <v>-1.9977238095238103E-2</v>
      </c>
      <c r="W84" s="58" t="str">
        <f t="shared" si="70"/>
        <v/>
      </c>
      <c r="X84" s="32" t="str">
        <f t="shared" ref="X84:X93" si="76">IF(S84&lt;M84,S84-M84,"")</f>
        <v/>
      </c>
      <c r="Y84" s="63" t="str">
        <f t="shared" ref="Y84:Y93" si="77">IF(S84&gt;N84,S84-N84,"")</f>
        <v/>
      </c>
      <c r="Z84" s="47">
        <f>MIN(V83:V93)</f>
        <v>-1.9977238095238103E-2</v>
      </c>
      <c r="AA84" t="s">
        <v>87</v>
      </c>
      <c r="AJ84" s="74">
        <f t="shared" si="71"/>
        <v>2200</v>
      </c>
    </row>
    <row r="85" spans="1:37" x14ac:dyDescent="0.35">
      <c r="A85" s="39" t="s">
        <v>2</v>
      </c>
      <c r="B85" s="8" t="s">
        <v>18</v>
      </c>
      <c r="C85" s="10" t="s">
        <v>19</v>
      </c>
      <c r="D85" s="10">
        <v>140.66999999999999</v>
      </c>
      <c r="E85" s="7">
        <v>8400</v>
      </c>
      <c r="F85" s="2">
        <f t="shared" si="72"/>
        <v>8.4000000000000005E-2</v>
      </c>
      <c r="G85" s="28">
        <v>0.1</v>
      </c>
      <c r="H85" s="15">
        <f t="shared" si="73"/>
        <v>10000</v>
      </c>
      <c r="I85" s="56">
        <f t="shared" si="61"/>
        <v>-1.6E-2</v>
      </c>
      <c r="J85" s="31">
        <f t="shared" si="62"/>
        <v>-1600</v>
      </c>
      <c r="K85" s="48">
        <f t="shared" si="63"/>
        <v>-1.6E-2</v>
      </c>
      <c r="L85" s="48" t="str">
        <f t="shared" si="64"/>
        <v/>
      </c>
      <c r="M85" s="28">
        <v>0.08</v>
      </c>
      <c r="N85" s="88">
        <v>0.12</v>
      </c>
      <c r="O85" s="34" t="str">
        <f t="shared" si="65"/>
        <v/>
      </c>
      <c r="P85" s="63" t="str">
        <f t="shared" si="66"/>
        <v/>
      </c>
      <c r="Q85" s="45">
        <v>796.39</v>
      </c>
      <c r="R85" s="46">
        <f t="shared" si="67"/>
        <v>9196.39</v>
      </c>
      <c r="S85" s="73">
        <f t="shared" si="74"/>
        <v>8.7584666666666658E-2</v>
      </c>
      <c r="T85" s="117">
        <f t="shared" si="68"/>
        <v>-1.2415333333333348E-2</v>
      </c>
      <c r="U85" s="31">
        <f t="shared" si="75"/>
        <v>-1303.6100000000006</v>
      </c>
      <c r="V85" s="48">
        <f t="shared" si="69"/>
        <v>-1.2415333333333348E-2</v>
      </c>
      <c r="W85" s="48" t="str">
        <f t="shared" si="70"/>
        <v/>
      </c>
      <c r="X85" s="32" t="str">
        <f t="shared" si="76"/>
        <v/>
      </c>
      <c r="Y85" s="63" t="str">
        <f t="shared" si="77"/>
        <v/>
      </c>
      <c r="Z85" s="47">
        <f>W95</f>
        <v>4.2857142857142844E-2</v>
      </c>
      <c r="AA85" t="s">
        <v>88</v>
      </c>
      <c r="AJ85" s="74">
        <f t="shared" si="71"/>
        <v>2100</v>
      </c>
    </row>
    <row r="86" spans="1:37" x14ac:dyDescent="0.35">
      <c r="A86" s="40" t="s">
        <v>3</v>
      </c>
      <c r="B86" t="s">
        <v>9</v>
      </c>
      <c r="C86" s="1" t="s">
        <v>10</v>
      </c>
      <c r="D86" s="1">
        <v>92.49</v>
      </c>
      <c r="E86" s="7">
        <v>9000</v>
      </c>
      <c r="F86" s="2">
        <f t="shared" si="72"/>
        <v>0.09</v>
      </c>
      <c r="G86" s="14">
        <v>0.1</v>
      </c>
      <c r="H86" s="15">
        <f t="shared" si="73"/>
        <v>10000</v>
      </c>
      <c r="I86" s="55">
        <f t="shared" si="61"/>
        <v>-1.0000000000000009E-2</v>
      </c>
      <c r="J86" s="31">
        <f t="shared" si="62"/>
        <v>-1000</v>
      </c>
      <c r="K86" s="58">
        <f t="shared" si="63"/>
        <v>-1.0000000000000009E-2</v>
      </c>
      <c r="L86" s="58" t="str">
        <f t="shared" si="64"/>
        <v/>
      </c>
      <c r="M86" s="28">
        <v>0.08</v>
      </c>
      <c r="N86" s="88">
        <v>0.12</v>
      </c>
      <c r="O86" s="32" t="str">
        <f t="shared" si="65"/>
        <v/>
      </c>
      <c r="P86" s="63" t="str">
        <f t="shared" si="66"/>
        <v/>
      </c>
      <c r="Q86" s="45">
        <v>1500</v>
      </c>
      <c r="R86" s="46">
        <f t="shared" si="67"/>
        <v>10500</v>
      </c>
      <c r="S86" s="73">
        <f t="shared" si="74"/>
        <v>0.1</v>
      </c>
      <c r="T86" s="117">
        <f t="shared" si="68"/>
        <v>0</v>
      </c>
      <c r="U86" s="31">
        <f t="shared" si="75"/>
        <v>0</v>
      </c>
      <c r="V86" s="58" t="str">
        <f t="shared" si="69"/>
        <v/>
      </c>
      <c r="W86" s="58" t="str">
        <f t="shared" si="70"/>
        <v/>
      </c>
      <c r="X86" s="32" t="str">
        <f t="shared" si="76"/>
        <v/>
      </c>
      <c r="Y86" s="63" t="str">
        <f t="shared" si="77"/>
        <v/>
      </c>
      <c r="Z86" s="18">
        <f>O96</f>
        <v>0</v>
      </c>
      <c r="AA86" t="s">
        <v>89</v>
      </c>
      <c r="AJ86" s="74">
        <f t="shared" si="71"/>
        <v>1500</v>
      </c>
    </row>
    <row r="87" spans="1:37" x14ac:dyDescent="0.35">
      <c r="A87" s="6"/>
      <c r="B87" t="s">
        <v>68</v>
      </c>
      <c r="C87" s="1" t="s">
        <v>8</v>
      </c>
      <c r="D87" s="1">
        <v>77.84</v>
      </c>
      <c r="E87" s="7">
        <v>9700</v>
      </c>
      <c r="F87" s="2">
        <f t="shared" si="72"/>
        <v>9.7000000000000003E-2</v>
      </c>
      <c r="G87" s="14">
        <v>0.1</v>
      </c>
      <c r="H87" s="15">
        <f t="shared" si="73"/>
        <v>10000</v>
      </c>
      <c r="I87" s="55">
        <f t="shared" si="61"/>
        <v>-3.0000000000000027E-3</v>
      </c>
      <c r="J87" s="31">
        <f t="shared" si="62"/>
        <v>-300</v>
      </c>
      <c r="K87" s="58">
        <f t="shared" si="63"/>
        <v>-3.0000000000000027E-3</v>
      </c>
      <c r="L87" s="58" t="str">
        <f t="shared" si="64"/>
        <v/>
      </c>
      <c r="M87" s="28">
        <v>0.08</v>
      </c>
      <c r="N87" s="88">
        <v>0.12</v>
      </c>
      <c r="O87" s="32" t="str">
        <f t="shared" si="65"/>
        <v/>
      </c>
      <c r="P87" s="63" t="str">
        <f t="shared" si="66"/>
        <v/>
      </c>
      <c r="Q87" s="7">
        <v>0</v>
      </c>
      <c r="R87" s="46">
        <f t="shared" si="67"/>
        <v>9700</v>
      </c>
      <c r="S87" s="73">
        <f t="shared" si="74"/>
        <v>9.2380952380952383E-2</v>
      </c>
      <c r="T87" s="30">
        <f t="shared" si="68"/>
        <v>-7.6190476190476225E-3</v>
      </c>
      <c r="U87" s="31">
        <f t="shared" si="75"/>
        <v>-800</v>
      </c>
      <c r="V87" s="58">
        <f t="shared" si="69"/>
        <v>-7.6190476190476225E-3</v>
      </c>
      <c r="W87" s="58" t="str">
        <f t="shared" si="70"/>
        <v/>
      </c>
      <c r="X87" s="32" t="str">
        <f t="shared" si="76"/>
        <v/>
      </c>
      <c r="Y87" s="63" t="str">
        <f t="shared" si="77"/>
        <v/>
      </c>
      <c r="Z87" s="47">
        <f>T96</f>
        <v>1.017087086957639E-2</v>
      </c>
      <c r="AA87" t="s">
        <v>90</v>
      </c>
      <c r="AJ87" s="74">
        <f t="shared" si="71"/>
        <v>800</v>
      </c>
    </row>
    <row r="88" spans="1:37" x14ac:dyDescent="0.35">
      <c r="B88" s="8" t="s">
        <v>26</v>
      </c>
      <c r="C88" s="10" t="s">
        <v>25</v>
      </c>
      <c r="D88" s="10">
        <v>112.81</v>
      </c>
      <c r="E88" s="7">
        <v>10000</v>
      </c>
      <c r="F88" s="2">
        <f t="shared" si="72"/>
        <v>0.1</v>
      </c>
      <c r="G88" s="14">
        <v>0.1</v>
      </c>
      <c r="H88" s="15">
        <f t="shared" si="73"/>
        <v>10000</v>
      </c>
      <c r="I88" s="56">
        <f t="shared" si="61"/>
        <v>0</v>
      </c>
      <c r="J88" s="31">
        <f t="shared" si="62"/>
        <v>0</v>
      </c>
      <c r="K88" s="48" t="str">
        <f t="shared" si="63"/>
        <v/>
      </c>
      <c r="L88" s="48" t="str">
        <f t="shared" si="64"/>
        <v/>
      </c>
      <c r="M88" s="28">
        <v>0.08</v>
      </c>
      <c r="N88" s="88">
        <v>0.12</v>
      </c>
      <c r="O88" s="34" t="str">
        <f t="shared" si="65"/>
        <v/>
      </c>
      <c r="P88" s="63" t="str">
        <f t="shared" si="66"/>
        <v/>
      </c>
      <c r="Q88" s="45">
        <v>376.26</v>
      </c>
      <c r="R88" s="46">
        <f t="shared" si="67"/>
        <v>10376.26</v>
      </c>
      <c r="S88" s="73">
        <f t="shared" si="74"/>
        <v>9.8821523809523817E-2</v>
      </c>
      <c r="T88" s="117">
        <f t="shared" si="68"/>
        <v>-1.1784761904761881E-3</v>
      </c>
      <c r="U88" s="31">
        <f t="shared" si="75"/>
        <v>-123.73999999999978</v>
      </c>
      <c r="V88" s="48">
        <f t="shared" si="69"/>
        <v>-1.1784761904761881E-3</v>
      </c>
      <c r="W88" s="48" t="str">
        <f t="shared" si="70"/>
        <v/>
      </c>
      <c r="X88" s="32" t="str">
        <f t="shared" si="76"/>
        <v/>
      </c>
      <c r="Y88" s="63" t="str">
        <f t="shared" si="77"/>
        <v/>
      </c>
      <c r="Z88" s="3">
        <f>SUM(Q83:Q93)</f>
        <v>5000</v>
      </c>
      <c r="AA88" t="s">
        <v>91</v>
      </c>
      <c r="AJ88" s="74">
        <f t="shared" si="71"/>
        <v>500</v>
      </c>
    </row>
    <row r="89" spans="1:37" x14ac:dyDescent="0.35">
      <c r="B89" t="s">
        <v>69</v>
      </c>
      <c r="C89" s="1" t="s">
        <v>12</v>
      </c>
      <c r="D89" s="1">
        <v>27.98</v>
      </c>
      <c r="E89" s="7">
        <v>8400</v>
      </c>
      <c r="F89" s="2">
        <f t="shared" si="72"/>
        <v>8.4000000000000005E-2</v>
      </c>
      <c r="G89" s="14">
        <v>0.08</v>
      </c>
      <c r="H89" s="15">
        <f t="shared" si="73"/>
        <v>8000</v>
      </c>
      <c r="I89" s="55">
        <f t="shared" si="61"/>
        <v>4.0000000000000036E-3</v>
      </c>
      <c r="J89" s="31">
        <f t="shared" si="62"/>
        <v>400</v>
      </c>
      <c r="K89" s="58" t="str">
        <f t="shared" si="63"/>
        <v/>
      </c>
      <c r="L89" s="58">
        <f t="shared" si="64"/>
        <v>4.0000000000000036E-3</v>
      </c>
      <c r="M89" s="28">
        <v>0.06</v>
      </c>
      <c r="N89" s="88">
        <v>0.1</v>
      </c>
      <c r="O89" s="32" t="str">
        <f t="shared" si="65"/>
        <v/>
      </c>
      <c r="P89" s="63" t="str">
        <f t="shared" si="66"/>
        <v/>
      </c>
      <c r="Q89" s="7">
        <v>0</v>
      </c>
      <c r="R89" s="46">
        <f t="shared" si="67"/>
        <v>8400</v>
      </c>
      <c r="S89" s="73">
        <f t="shared" si="74"/>
        <v>0.08</v>
      </c>
      <c r="T89" s="30">
        <f t="shared" si="68"/>
        <v>0</v>
      </c>
      <c r="U89" s="31">
        <f t="shared" si="75"/>
        <v>0</v>
      </c>
      <c r="V89" s="58" t="str">
        <f t="shared" si="69"/>
        <v/>
      </c>
      <c r="W89" s="58" t="str">
        <f t="shared" si="70"/>
        <v/>
      </c>
      <c r="X89" s="32" t="str">
        <f t="shared" si="76"/>
        <v/>
      </c>
      <c r="Y89" s="63" t="str">
        <f t="shared" si="77"/>
        <v/>
      </c>
      <c r="Z89" s="1">
        <f>COUNTIF(Q83:Q93,"&lt;&gt;0")</f>
        <v>5</v>
      </c>
      <c r="AA89" t="s">
        <v>92</v>
      </c>
      <c r="AJ89" s="74">
        <f t="shared" si="71"/>
        <v>0</v>
      </c>
    </row>
    <row r="90" spans="1:37" x14ac:dyDescent="0.35">
      <c r="B90" t="s">
        <v>65</v>
      </c>
      <c r="C90" s="1" t="s">
        <v>65</v>
      </c>
      <c r="D90" s="42">
        <v>1</v>
      </c>
      <c r="E90" s="7">
        <v>2700</v>
      </c>
      <c r="F90" s="2">
        <f t="shared" si="72"/>
        <v>2.7E-2</v>
      </c>
      <c r="G90" s="14">
        <v>0.02</v>
      </c>
      <c r="H90" s="15">
        <f t="shared" si="73"/>
        <v>2000</v>
      </c>
      <c r="I90" s="55">
        <f t="shared" si="61"/>
        <v>6.9999999999999993E-3</v>
      </c>
      <c r="J90" s="31">
        <f t="shared" si="62"/>
        <v>700</v>
      </c>
      <c r="K90" s="58" t="str">
        <f t="shared" si="63"/>
        <v/>
      </c>
      <c r="L90" s="58">
        <f t="shared" si="64"/>
        <v>6.9999999999999993E-3</v>
      </c>
      <c r="M90" s="28">
        <v>6.0000000000000001E-3</v>
      </c>
      <c r="N90" s="88">
        <v>0.04</v>
      </c>
      <c r="O90" s="32" t="str">
        <f t="shared" si="65"/>
        <v/>
      </c>
      <c r="P90" s="63" t="str">
        <f t="shared" si="66"/>
        <v/>
      </c>
      <c r="Q90" s="7">
        <v>0</v>
      </c>
      <c r="R90" s="46">
        <f t="shared" si="67"/>
        <v>2700</v>
      </c>
      <c r="S90" s="73">
        <f t="shared" si="74"/>
        <v>2.5714285714285714E-2</v>
      </c>
      <c r="T90" s="30">
        <f t="shared" si="68"/>
        <v>5.7142857142857134E-3</v>
      </c>
      <c r="U90" s="31">
        <f t="shared" si="75"/>
        <v>600</v>
      </c>
      <c r="V90" s="58" t="str">
        <f t="shared" si="69"/>
        <v/>
      </c>
      <c r="W90" s="58">
        <f t="shared" si="70"/>
        <v>5.7142857142857134E-3</v>
      </c>
      <c r="X90" s="32" t="str">
        <f t="shared" si="76"/>
        <v/>
      </c>
      <c r="Y90" s="63" t="str">
        <f t="shared" si="77"/>
        <v/>
      </c>
      <c r="AJ90" s="74">
        <f t="shared" si="71"/>
        <v>-600</v>
      </c>
    </row>
    <row r="91" spans="1:37" x14ac:dyDescent="0.35">
      <c r="B91" t="s">
        <v>17</v>
      </c>
      <c r="C91" s="1" t="s">
        <v>5</v>
      </c>
      <c r="D91" s="1">
        <v>94.9</v>
      </c>
      <c r="E91" s="7">
        <v>11700</v>
      </c>
      <c r="F91" s="2">
        <f t="shared" si="72"/>
        <v>0.11700000000000001</v>
      </c>
      <c r="G91" s="14">
        <v>0.1</v>
      </c>
      <c r="H91" s="15">
        <f t="shared" si="73"/>
        <v>10000</v>
      </c>
      <c r="I91" s="56">
        <f t="shared" si="61"/>
        <v>1.7000000000000001E-2</v>
      </c>
      <c r="J91" s="31">
        <f t="shared" si="62"/>
        <v>1700</v>
      </c>
      <c r="K91" s="58" t="str">
        <f t="shared" si="63"/>
        <v/>
      </c>
      <c r="L91" s="58">
        <f t="shared" si="64"/>
        <v>1.7000000000000001E-2</v>
      </c>
      <c r="M91" s="28">
        <v>0.08</v>
      </c>
      <c r="N91" s="88">
        <v>0.12</v>
      </c>
      <c r="O91" s="32" t="str">
        <f t="shared" si="65"/>
        <v/>
      </c>
      <c r="P91" s="63" t="str">
        <f t="shared" si="66"/>
        <v/>
      </c>
      <c r="Q91" s="46">
        <v>0</v>
      </c>
      <c r="R91" s="46">
        <f t="shared" si="67"/>
        <v>11700</v>
      </c>
      <c r="S91" s="73">
        <f t="shared" si="74"/>
        <v>0.11142857142857143</v>
      </c>
      <c r="T91" s="30">
        <f t="shared" si="68"/>
        <v>1.1428571428571427E-2</v>
      </c>
      <c r="U91" s="31">
        <f t="shared" si="75"/>
        <v>1200</v>
      </c>
      <c r="V91" s="58" t="str">
        <f t="shared" si="69"/>
        <v/>
      </c>
      <c r="W91" s="58">
        <f t="shared" si="70"/>
        <v>1.1428571428571427E-2</v>
      </c>
      <c r="X91" s="32" t="str">
        <f t="shared" si="76"/>
        <v/>
      </c>
      <c r="Y91" s="63" t="str">
        <f t="shared" si="77"/>
        <v/>
      </c>
      <c r="Z91" s="18">
        <f>S83+S84+S85+S88+S91+S92+S93</f>
        <v>0.70190476190476181</v>
      </c>
      <c r="AA91" t="s">
        <v>123</v>
      </c>
      <c r="AJ91" s="74">
        <f t="shared" si="71"/>
        <v>-1200</v>
      </c>
    </row>
    <row r="92" spans="1:37" x14ac:dyDescent="0.35">
      <c r="B92" t="s">
        <v>15</v>
      </c>
      <c r="C92" s="1" t="s">
        <v>6</v>
      </c>
      <c r="D92" s="1">
        <v>197.79</v>
      </c>
      <c r="E92" s="7">
        <v>11800</v>
      </c>
      <c r="F92" s="2">
        <f t="shared" si="72"/>
        <v>0.11799999999999999</v>
      </c>
      <c r="G92" s="14">
        <v>0.1</v>
      </c>
      <c r="H92" s="15">
        <f t="shared" si="73"/>
        <v>10000</v>
      </c>
      <c r="I92" s="56">
        <f t="shared" si="61"/>
        <v>1.7999999999999988E-2</v>
      </c>
      <c r="J92" s="31">
        <f t="shared" si="62"/>
        <v>1800</v>
      </c>
      <c r="K92" s="58" t="str">
        <f t="shared" si="63"/>
        <v/>
      </c>
      <c r="L92" s="58">
        <f t="shared" si="64"/>
        <v>1.7999999999999988E-2</v>
      </c>
      <c r="M92" s="28">
        <v>0.08</v>
      </c>
      <c r="N92" s="88">
        <v>0.12</v>
      </c>
      <c r="O92" s="32" t="str">
        <f t="shared" si="65"/>
        <v/>
      </c>
      <c r="P92" s="63" t="str">
        <f t="shared" si="66"/>
        <v/>
      </c>
      <c r="Q92" s="46">
        <v>0</v>
      </c>
      <c r="R92" s="46">
        <f t="shared" si="67"/>
        <v>11800</v>
      </c>
      <c r="S92" s="73">
        <f t="shared" si="74"/>
        <v>0.11238095238095239</v>
      </c>
      <c r="T92" s="30">
        <f t="shared" si="68"/>
        <v>1.2380952380952381E-2</v>
      </c>
      <c r="U92" s="31">
        <f t="shared" si="75"/>
        <v>1300</v>
      </c>
      <c r="V92" s="58" t="str">
        <f t="shared" si="69"/>
        <v/>
      </c>
      <c r="W92" s="58">
        <f t="shared" si="70"/>
        <v>1.2380952380952381E-2</v>
      </c>
      <c r="X92" s="32" t="str">
        <f t="shared" si="76"/>
        <v/>
      </c>
      <c r="Y92" s="63" t="str">
        <f t="shared" si="77"/>
        <v/>
      </c>
      <c r="Z92" s="18">
        <f>S86+S87+S89+S90</f>
        <v>0.29809523809523808</v>
      </c>
      <c r="AA92" t="s">
        <v>124</v>
      </c>
      <c r="AJ92" s="74">
        <f t="shared" si="71"/>
        <v>-1300</v>
      </c>
    </row>
    <row r="93" spans="1:37" x14ac:dyDescent="0.35">
      <c r="B93" s="8" t="s">
        <v>21</v>
      </c>
      <c r="C93" s="10" t="s">
        <v>20</v>
      </c>
      <c r="D93" s="10">
        <v>81.81</v>
      </c>
      <c r="E93" s="7">
        <v>11900</v>
      </c>
      <c r="F93" s="2">
        <f t="shared" si="72"/>
        <v>0.11899999999999999</v>
      </c>
      <c r="G93" s="28">
        <v>0.1</v>
      </c>
      <c r="H93" s="15">
        <f t="shared" si="73"/>
        <v>10000</v>
      </c>
      <c r="I93" s="56">
        <f t="shared" si="61"/>
        <v>1.8999999999999989E-2</v>
      </c>
      <c r="J93" s="31">
        <f t="shared" si="62"/>
        <v>1900</v>
      </c>
      <c r="K93" s="48" t="str">
        <f t="shared" si="63"/>
        <v/>
      </c>
      <c r="L93" s="48">
        <f t="shared" si="64"/>
        <v>1.8999999999999989E-2</v>
      </c>
      <c r="M93" s="28">
        <v>0.08</v>
      </c>
      <c r="N93" s="88">
        <v>0.12</v>
      </c>
      <c r="O93" s="34" t="str">
        <f t="shared" si="65"/>
        <v/>
      </c>
      <c r="P93" s="63" t="str">
        <f t="shared" si="66"/>
        <v/>
      </c>
      <c r="Q93" s="46">
        <v>0</v>
      </c>
      <c r="R93" s="46">
        <f t="shared" si="67"/>
        <v>11900</v>
      </c>
      <c r="S93" s="73">
        <f t="shared" si="74"/>
        <v>0.11333333333333333</v>
      </c>
      <c r="T93" s="30">
        <f t="shared" si="68"/>
        <v>1.3333333333333322E-2</v>
      </c>
      <c r="U93" s="31">
        <f t="shared" si="75"/>
        <v>1400</v>
      </c>
      <c r="V93" s="48" t="str">
        <f t="shared" si="69"/>
        <v/>
      </c>
      <c r="W93" s="48">
        <f t="shared" si="70"/>
        <v>1.3333333333333322E-2</v>
      </c>
      <c r="X93" s="32" t="str">
        <f t="shared" si="76"/>
        <v/>
      </c>
      <c r="Y93" s="63" t="str">
        <f t="shared" si="77"/>
        <v/>
      </c>
      <c r="AJ93" s="74">
        <f t="shared" si="71"/>
        <v>-1400</v>
      </c>
    </row>
    <row r="94" spans="1:37" ht="5.25" customHeight="1" x14ac:dyDescent="0.35">
      <c r="E94" s="7"/>
      <c r="F94" s="2"/>
      <c r="G94" s="16"/>
      <c r="H94" s="16"/>
      <c r="I94" s="55"/>
      <c r="J94" s="13"/>
      <c r="K94" s="47"/>
      <c r="L94" s="47"/>
      <c r="M94" s="16"/>
      <c r="N94" s="89"/>
      <c r="O94" s="1"/>
      <c r="P94" s="60"/>
      <c r="Q94" s="7"/>
      <c r="R94" s="7"/>
      <c r="S94" s="2"/>
      <c r="T94" s="11"/>
      <c r="U94" s="13"/>
      <c r="V94" s="47"/>
      <c r="W94" s="47"/>
      <c r="X94" s="1"/>
      <c r="Y94" s="60"/>
    </row>
    <row r="95" spans="1:37" x14ac:dyDescent="0.35">
      <c r="E95" s="9">
        <f>SUM(E83:E93)</f>
        <v>100000</v>
      </c>
      <c r="F95" s="2">
        <f>E95/$E95</f>
        <v>1</v>
      </c>
      <c r="G95" s="14">
        <f>SUM(G83:G93)</f>
        <v>0.99999999999999989</v>
      </c>
      <c r="H95" s="15">
        <f>SUM(H83:H93)</f>
        <v>100000</v>
      </c>
      <c r="I95" s="55">
        <f>F95-G95</f>
        <v>0</v>
      </c>
      <c r="J95" s="12">
        <f>SUM(J83:J93)</f>
        <v>0</v>
      </c>
      <c r="K95" s="136">
        <f>SUM(K83:K93)</f>
        <v>-6.5000000000000016E-2</v>
      </c>
      <c r="L95" s="137">
        <f>SUM(L83:L93)</f>
        <v>6.4999999999999974E-2</v>
      </c>
      <c r="M95" s="14"/>
      <c r="N95" s="87"/>
      <c r="O95" s="2">
        <f>SUM(O83:O93)</f>
        <v>0</v>
      </c>
      <c r="P95" s="61">
        <f>SUM(P83:P93)</f>
        <v>0</v>
      </c>
      <c r="Q95" s="9">
        <f>SUM(Q83:Q93)</f>
        <v>5000</v>
      </c>
      <c r="R95" s="9">
        <f>SUM(R83:R93)</f>
        <v>105000</v>
      </c>
      <c r="S95" s="2">
        <f t="shared" ref="S95" si="78">R95/$R$47</f>
        <v>1</v>
      </c>
      <c r="T95" s="11">
        <f>-SUM(T83:T93)</f>
        <v>5.5511151231257827E-17</v>
      </c>
      <c r="U95" s="12">
        <f>SUM(U83:U93)</f>
        <v>-1.8189894035458565E-12</v>
      </c>
      <c r="V95" s="136">
        <f>SUM(V83:V93)</f>
        <v>-4.2857142857142899E-2</v>
      </c>
      <c r="W95" s="137">
        <f>SUM(W83:W93)</f>
        <v>4.2857142857142844E-2</v>
      </c>
      <c r="X95" s="2">
        <f>SUM(X83:X93)</f>
        <v>0</v>
      </c>
      <c r="Y95" s="61">
        <f>SUM(Y83:Y93)</f>
        <v>0</v>
      </c>
    </row>
    <row r="96" spans="1:37" x14ac:dyDescent="0.35">
      <c r="H96" s="133" t="s">
        <v>3</v>
      </c>
      <c r="I96" s="135">
        <f t="array" ref="I96">SQRT(MMULT(MMULT(TRANSPOSE(I83:I93),'Risk Stat Calcs (offage order)'!$O$3:$Y$13),I83:I93))</f>
        <v>1.6265670203682098E-2</v>
      </c>
      <c r="K96" s="131" t="s">
        <v>42</v>
      </c>
      <c r="L96" s="132" t="s">
        <v>42</v>
      </c>
      <c r="N96" s="90"/>
      <c r="O96" s="2">
        <f>P95-O95</f>
        <v>0</v>
      </c>
      <c r="P96" s="84" t="s">
        <v>109</v>
      </c>
      <c r="S96" s="133" t="s">
        <v>3</v>
      </c>
      <c r="T96" s="134">
        <f t="array" ref="T96">SQRT(MMULT(MMULT(TRANSPOSE(T83:T93),'Risk Stat Calcs (offage order)'!$O$3:$Y$13),T83:T93))</f>
        <v>1.017087086957639E-2</v>
      </c>
      <c r="U96" s="1"/>
      <c r="V96" s="131" t="s">
        <v>42</v>
      </c>
      <c r="W96" s="132" t="s">
        <v>42</v>
      </c>
      <c r="X96" s="2">
        <f>Y95-X95</f>
        <v>0</v>
      </c>
      <c r="Y96" s="84" t="s">
        <v>109</v>
      </c>
    </row>
    <row r="97" spans="1:43" x14ac:dyDescent="0.35">
      <c r="A97" s="36"/>
      <c r="B97" s="36"/>
      <c r="C97" s="36"/>
      <c r="D97" s="36"/>
      <c r="E97" s="38"/>
      <c r="F97" s="37"/>
      <c r="G97" s="36"/>
      <c r="H97" s="36"/>
      <c r="I97" s="37"/>
      <c r="J97" s="37"/>
      <c r="K97" s="37"/>
      <c r="L97" s="37"/>
      <c r="M97" s="36"/>
      <c r="N97" s="91"/>
      <c r="O97" s="36"/>
      <c r="P97" s="85"/>
      <c r="Q97" s="36"/>
      <c r="R97" s="36"/>
      <c r="S97" s="36"/>
      <c r="T97" s="36"/>
      <c r="U97" s="36"/>
      <c r="V97" s="36"/>
      <c r="W97" s="36"/>
      <c r="X97" s="36"/>
      <c r="Y97" s="36"/>
      <c r="Z97" s="36"/>
      <c r="AA97" s="36"/>
      <c r="AB97" s="36"/>
      <c r="AC97" s="36"/>
      <c r="AD97" s="36"/>
      <c r="AE97" s="36"/>
      <c r="AF97" s="36"/>
      <c r="AG97" s="36"/>
      <c r="AH97" s="36"/>
      <c r="AI97" s="36"/>
    </row>
    <row r="101" spans="1:43" ht="44" thickBot="1" x14ac:dyDescent="0.4">
      <c r="AK101" s="92" t="s">
        <v>132</v>
      </c>
      <c r="AL101" s="92" t="s">
        <v>0</v>
      </c>
      <c r="AM101" s="92" t="s">
        <v>114</v>
      </c>
      <c r="AN101" s="92" t="s">
        <v>127</v>
      </c>
      <c r="AO101" s="92" t="s">
        <v>126</v>
      </c>
      <c r="AP101" s="75" t="s">
        <v>94</v>
      </c>
      <c r="AQ101" s="75" t="s">
        <v>131</v>
      </c>
    </row>
    <row r="102" spans="1:43" ht="16" customHeight="1" x14ac:dyDescent="0.35">
      <c r="AK102" s="120">
        <v>1.8999999999999989E-2</v>
      </c>
      <c r="AL102" s="120">
        <v>1.8095238095238095E-2</v>
      </c>
      <c r="AM102" s="127">
        <v>1.3333333333333322E-2</v>
      </c>
      <c r="AN102" s="127">
        <v>1.3333333333333322E-2</v>
      </c>
      <c r="AO102" s="127">
        <v>1.3333333333333322E-2</v>
      </c>
      <c r="AP102" s="121" t="s">
        <v>128</v>
      </c>
      <c r="AQ102" s="121" t="s">
        <v>133</v>
      </c>
    </row>
    <row r="103" spans="1:43" ht="16" customHeight="1" x14ac:dyDescent="0.35">
      <c r="AK103" s="122">
        <v>-1.9000000000000003E-2</v>
      </c>
      <c r="AL103" s="122">
        <v>-1.8095238095238095E-2</v>
      </c>
      <c r="AM103" s="122">
        <v>-1.428571428571429E-2</v>
      </c>
      <c r="AN103" s="128">
        <v>-7.6190476190476225E-3</v>
      </c>
      <c r="AO103" s="122">
        <v>-1.9977238095238103E-2</v>
      </c>
      <c r="AP103" s="123" t="s">
        <v>129</v>
      </c>
      <c r="AQ103" s="123" t="s">
        <v>134</v>
      </c>
    </row>
    <row r="104" spans="1:43" ht="16" customHeight="1" x14ac:dyDescent="0.35">
      <c r="AK104" s="120">
        <v>6.4999999999999974E-2</v>
      </c>
      <c r="AL104" s="120">
        <v>6.1904761904761893E-2</v>
      </c>
      <c r="AM104" s="127">
        <v>4.2857142857142844E-2</v>
      </c>
      <c r="AN104" s="127">
        <v>4.2857142857142844E-2</v>
      </c>
      <c r="AO104" s="127">
        <v>4.2857142857142844E-2</v>
      </c>
      <c r="AP104" s="121" t="s">
        <v>130</v>
      </c>
      <c r="AQ104" s="121" t="s">
        <v>133</v>
      </c>
    </row>
    <row r="105" spans="1:43" ht="16" customHeight="1" x14ac:dyDescent="0.35">
      <c r="AK105" s="122">
        <v>1.6265670203682098E-2</v>
      </c>
      <c r="AL105" s="122">
        <v>1.5491114479697241E-2</v>
      </c>
      <c r="AM105" s="122">
        <v>1.2117074173436333E-2</v>
      </c>
      <c r="AN105" s="122">
        <v>1.1695040359254272E-2</v>
      </c>
      <c r="AO105" s="128">
        <v>1.017087086957639E-2</v>
      </c>
      <c r="AP105" s="123" t="s">
        <v>90</v>
      </c>
      <c r="AQ105" s="123" t="s">
        <v>135</v>
      </c>
    </row>
    <row r="106" spans="1:43" ht="16" customHeight="1" x14ac:dyDescent="0.35">
      <c r="AK106" s="125"/>
      <c r="AL106" s="125">
        <v>11</v>
      </c>
      <c r="AM106" s="129">
        <v>3</v>
      </c>
      <c r="AN106" s="125">
        <v>4</v>
      </c>
      <c r="AO106" s="125">
        <v>5</v>
      </c>
      <c r="AP106" s="123" t="s">
        <v>92</v>
      </c>
      <c r="AQ106" s="123" t="s">
        <v>136</v>
      </c>
    </row>
    <row r="107" spans="1:43" ht="16" customHeight="1" x14ac:dyDescent="0.35">
      <c r="AK107" s="126">
        <v>0.70199999999999996</v>
      </c>
      <c r="AL107" s="130">
        <v>0.70190476190476192</v>
      </c>
      <c r="AM107" s="126">
        <v>0.71619047619047616</v>
      </c>
      <c r="AN107" s="126">
        <v>0.70952380952380945</v>
      </c>
      <c r="AO107" s="130">
        <v>0.70190476190476181</v>
      </c>
      <c r="AP107" s="121" t="s">
        <v>144</v>
      </c>
      <c r="AQ107" s="160" t="s">
        <v>137</v>
      </c>
    </row>
    <row r="108" spans="1:43" ht="16" customHeight="1" x14ac:dyDescent="0.35">
      <c r="AK108" s="126">
        <v>0.29800000000000004</v>
      </c>
      <c r="AL108" s="130">
        <v>0.29809523809523814</v>
      </c>
      <c r="AM108" s="126">
        <v>0.28380952380952379</v>
      </c>
      <c r="AN108" s="126">
        <v>0.29047619047619044</v>
      </c>
      <c r="AO108" s="130">
        <v>0.29809523809523808</v>
      </c>
      <c r="AP108" s="121" t="s">
        <v>145</v>
      </c>
      <c r="AQ108" s="161"/>
    </row>
    <row r="109" spans="1:43" x14ac:dyDescent="0.35">
      <c r="AK109" s="124"/>
      <c r="AL109" s="124">
        <v>5000</v>
      </c>
      <c r="AM109" s="124">
        <v>5000</v>
      </c>
      <c r="AN109" s="124">
        <v>5000</v>
      </c>
      <c r="AO109" s="124">
        <v>5000</v>
      </c>
      <c r="AP109" s="121" t="s">
        <v>91</v>
      </c>
      <c r="AQ109" s="121"/>
    </row>
  </sheetData>
  <sortState ref="B83:Y93">
    <sortCondition ref="Y83:Y93"/>
  </sortState>
  <mergeCells count="1">
    <mergeCell ref="AQ107:AQ108"/>
  </mergeCells>
  <conditionalFormatting sqref="Q1:Q16 Q33:Q49 Q51:Q62 Q67:Q78 Q83:Q94 Q65 Q81 Q97:Q1048576">
    <cfRule type="cellIs" dxfId="17" priority="9" operator="equal">
      <formula>0</formula>
    </cfRule>
  </conditionalFormatting>
  <conditionalFormatting sqref="Q18:Q32">
    <cfRule type="cellIs" dxfId="16" priority="8" operator="equal">
      <formula>0</formula>
    </cfRule>
  </conditionalFormatting>
  <conditionalFormatting sqref="Q17">
    <cfRule type="cellIs" dxfId="15" priority="7" operator="equal">
      <formula>0</formula>
    </cfRule>
  </conditionalFormatting>
  <conditionalFormatting sqref="Q50">
    <cfRule type="cellIs" dxfId="14" priority="6" operator="equal">
      <formula>0</formula>
    </cfRule>
  </conditionalFormatting>
  <conditionalFormatting sqref="Q66">
    <cfRule type="cellIs" dxfId="13" priority="5" operator="equal">
      <formula>0</formula>
    </cfRule>
  </conditionalFormatting>
  <conditionalFormatting sqref="Q82">
    <cfRule type="cellIs" dxfId="12" priority="4" operator="equal">
      <formula>0</formula>
    </cfRule>
  </conditionalFormatting>
  <conditionalFormatting sqref="Q63:Q64">
    <cfRule type="cellIs" dxfId="11" priority="3" operator="equal">
      <formula>0</formula>
    </cfRule>
  </conditionalFormatting>
  <conditionalFormatting sqref="Q79:Q80">
    <cfRule type="cellIs" dxfId="10" priority="2" operator="equal">
      <formula>0</formula>
    </cfRule>
  </conditionalFormatting>
  <conditionalFormatting sqref="Q95:Q96">
    <cfRule type="cellIs" dxfId="9"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93"/>
  <sheetViews>
    <sheetView workbookViewId="0">
      <selection activeCell="A3" sqref="A3"/>
    </sheetView>
  </sheetViews>
  <sheetFormatPr defaultRowHeight="14.5" x14ac:dyDescent="0.35"/>
  <cols>
    <col min="1" max="1" width="23.54296875" bestFit="1" customWidth="1"/>
    <col min="2" max="2" width="26.08984375" customWidth="1"/>
    <col min="3" max="3" width="6.08984375" customWidth="1"/>
    <col min="4" max="4" width="7.1796875" customWidth="1"/>
    <col min="5" max="5" width="10.1796875" style="3" customWidth="1"/>
    <col min="6" max="6" width="7.453125" style="1" customWidth="1"/>
    <col min="7" max="7" width="7.1796875" customWidth="1"/>
    <col min="8" max="8" width="10.7265625" customWidth="1"/>
    <col min="9" max="9" width="7.7265625" style="1" customWidth="1"/>
    <col min="10" max="10" width="9.36328125" style="1" customWidth="1"/>
    <col min="11" max="12" width="8.6328125" style="1" customWidth="1"/>
    <col min="13" max="14" width="7.7265625" customWidth="1"/>
    <col min="15" max="16" width="7.6328125" customWidth="1"/>
    <col min="17" max="17" width="9.1796875" style="3" customWidth="1"/>
    <col min="18" max="18" width="10.7265625" customWidth="1"/>
    <col min="19" max="19" width="8.7265625" customWidth="1"/>
    <col min="26" max="26" width="27" customWidth="1"/>
    <col min="38" max="38" width="9.6328125" customWidth="1"/>
    <col min="39" max="39" width="10.1796875" customWidth="1"/>
    <col min="41" max="41" width="9.6328125" customWidth="1"/>
    <col min="42" max="42" width="28.7265625" bestFit="1" customWidth="1"/>
    <col min="43" max="43" width="44.7265625" bestFit="1" customWidth="1"/>
  </cols>
  <sheetData>
    <row r="1" spans="1:29" x14ac:dyDescent="0.35">
      <c r="A1" s="6" t="s">
        <v>174</v>
      </c>
      <c r="P1" s="141"/>
      <c r="Q1" s="72"/>
    </row>
    <row r="2" spans="1:29" s="17" customFormat="1" ht="32.15" customHeight="1" thickBot="1" x14ac:dyDescent="0.4">
      <c r="B2" s="75" t="s">
        <v>22</v>
      </c>
      <c r="C2" s="92" t="s">
        <v>23</v>
      </c>
      <c r="D2" s="92" t="s">
        <v>24</v>
      </c>
      <c r="E2" s="102" t="s">
        <v>29</v>
      </c>
      <c r="F2" s="92" t="s">
        <v>30</v>
      </c>
      <c r="G2" s="103" t="s">
        <v>27</v>
      </c>
      <c r="H2" s="103" t="s">
        <v>28</v>
      </c>
      <c r="I2" s="104" t="s">
        <v>31</v>
      </c>
      <c r="J2" s="104" t="s">
        <v>32</v>
      </c>
      <c r="K2" s="105" t="s">
        <v>41</v>
      </c>
      <c r="L2" s="105" t="s">
        <v>40</v>
      </c>
      <c r="M2" s="103" t="s">
        <v>43</v>
      </c>
      <c r="N2" s="103" t="s">
        <v>44</v>
      </c>
      <c r="O2" s="105" t="s">
        <v>45</v>
      </c>
      <c r="P2" s="105" t="s">
        <v>46</v>
      </c>
      <c r="Q2" s="69"/>
      <c r="Y2" s="92" t="s">
        <v>173</v>
      </c>
      <c r="Z2" s="75" t="s">
        <v>94</v>
      </c>
      <c r="AA2"/>
      <c r="AB2"/>
      <c r="AC2"/>
    </row>
    <row r="3" spans="1:29" x14ac:dyDescent="0.35">
      <c r="A3" s="5" t="s">
        <v>108</v>
      </c>
      <c r="B3" t="s">
        <v>14</v>
      </c>
      <c r="C3" s="1" t="s">
        <v>13</v>
      </c>
      <c r="D3" s="1">
        <v>143.66</v>
      </c>
      <c r="E3" s="7">
        <v>7400</v>
      </c>
      <c r="F3" s="167">
        <f>E3/$E$15</f>
        <v>7.3999999999999996E-2</v>
      </c>
      <c r="G3" s="14">
        <v>0.1</v>
      </c>
      <c r="H3" s="15">
        <f>$E$15*G3</f>
        <v>10000</v>
      </c>
      <c r="I3" s="55">
        <f t="shared" ref="I3:I13" si="0">F3-G3</f>
        <v>-2.6000000000000009E-2</v>
      </c>
      <c r="J3" s="12">
        <f t="shared" ref="J3:J13" si="1">E3-H3</f>
        <v>-2600</v>
      </c>
      <c r="K3" s="47">
        <f t="shared" ref="K3:K13" si="2">IF(I3&lt;0,I3,"")</f>
        <v>-2.6000000000000009E-2</v>
      </c>
      <c r="L3" s="47" t="str">
        <f t="shared" ref="L3:L13" si="3">IF(I3&gt;0,I3,"")</f>
        <v/>
      </c>
      <c r="M3" s="14">
        <v>0.08</v>
      </c>
      <c r="N3" s="14">
        <v>0.12</v>
      </c>
      <c r="O3" s="18">
        <f t="shared" ref="O3:O8" si="4">IF(F3&lt;M3,F3-M3,"")</f>
        <v>-6.0000000000000053E-3</v>
      </c>
      <c r="P3" s="142" t="str">
        <f t="shared" ref="P3:P8" si="5">IF(F3&gt;N3,F3-N3,"")</f>
        <v/>
      </c>
      <c r="Q3" s="70"/>
      <c r="Y3" s="47">
        <f>MAX(L3:L13)</f>
        <v>2.4999999999999994E-2</v>
      </c>
      <c r="Z3" s="121" t="s">
        <v>128</v>
      </c>
    </row>
    <row r="4" spans="1:29" x14ac:dyDescent="0.35">
      <c r="B4" t="s">
        <v>16</v>
      </c>
      <c r="C4" s="1" t="s">
        <v>4</v>
      </c>
      <c r="D4" s="1">
        <v>255.29</v>
      </c>
      <c r="E4" s="7">
        <v>7800</v>
      </c>
      <c r="F4" s="167">
        <f t="shared" ref="F4:F13" si="6">E4/$E$15</f>
        <v>7.8E-2</v>
      </c>
      <c r="G4" s="14">
        <v>0.1</v>
      </c>
      <c r="H4" s="15">
        <f t="shared" ref="H4:H13" si="7">$E$15*G4</f>
        <v>10000</v>
      </c>
      <c r="I4" s="55">
        <f t="shared" si="0"/>
        <v>-2.2000000000000006E-2</v>
      </c>
      <c r="J4" s="12">
        <f t="shared" si="1"/>
        <v>-2200</v>
      </c>
      <c r="K4" s="47">
        <f t="shared" si="2"/>
        <v>-2.2000000000000006E-2</v>
      </c>
      <c r="L4" s="47" t="str">
        <f t="shared" si="3"/>
        <v/>
      </c>
      <c r="M4" s="14">
        <v>0.08</v>
      </c>
      <c r="N4" s="14">
        <v>0.12</v>
      </c>
      <c r="O4" s="18">
        <f t="shared" si="4"/>
        <v>-2.0000000000000018E-3</v>
      </c>
      <c r="P4" s="142" t="str">
        <f t="shared" si="5"/>
        <v/>
      </c>
      <c r="Q4" s="70"/>
      <c r="Y4" s="119">
        <f>MIN(K3:K13)</f>
        <v>-2.6000000000000009E-2</v>
      </c>
      <c r="Z4" s="123" t="s">
        <v>129</v>
      </c>
    </row>
    <row r="5" spans="1:29" x14ac:dyDescent="0.35">
      <c r="B5" s="8" t="s">
        <v>18</v>
      </c>
      <c r="C5" s="10" t="s">
        <v>19</v>
      </c>
      <c r="D5" s="10">
        <v>140.66999999999999</v>
      </c>
      <c r="E5" s="7">
        <v>8100</v>
      </c>
      <c r="F5" s="2">
        <f t="shared" si="6"/>
        <v>8.1000000000000003E-2</v>
      </c>
      <c r="G5" s="28">
        <v>0.1</v>
      </c>
      <c r="H5" s="15">
        <f t="shared" si="7"/>
        <v>10000</v>
      </c>
      <c r="I5" s="56">
        <f t="shared" si="0"/>
        <v>-1.9000000000000003E-2</v>
      </c>
      <c r="J5" s="31">
        <f t="shared" si="1"/>
        <v>-1900</v>
      </c>
      <c r="K5" s="48">
        <f t="shared" si="2"/>
        <v>-1.9000000000000003E-2</v>
      </c>
      <c r="L5" s="48" t="str">
        <f t="shared" si="3"/>
        <v/>
      </c>
      <c r="M5" s="28">
        <v>0.08</v>
      </c>
      <c r="N5" s="28">
        <v>0.12</v>
      </c>
      <c r="O5" s="34" t="str">
        <f t="shared" si="4"/>
        <v/>
      </c>
      <c r="P5" s="142" t="str">
        <f t="shared" si="5"/>
        <v/>
      </c>
      <c r="Q5" s="70"/>
      <c r="Y5" s="47">
        <f>L15</f>
        <v>7.599999999999997E-2</v>
      </c>
      <c r="Z5" s="121" t="s">
        <v>130</v>
      </c>
    </row>
    <row r="6" spans="1:29" x14ac:dyDescent="0.35">
      <c r="B6" t="s">
        <v>9</v>
      </c>
      <c r="C6" s="1" t="s">
        <v>10</v>
      </c>
      <c r="D6" s="1">
        <v>92.49</v>
      </c>
      <c r="E6" s="7">
        <v>9400</v>
      </c>
      <c r="F6" s="2">
        <f t="shared" si="6"/>
        <v>9.4E-2</v>
      </c>
      <c r="G6" s="14">
        <v>0.1</v>
      </c>
      <c r="H6" s="15">
        <f t="shared" si="7"/>
        <v>10000</v>
      </c>
      <c r="I6" s="55">
        <f t="shared" si="0"/>
        <v>-6.0000000000000053E-3</v>
      </c>
      <c r="J6" s="12">
        <f t="shared" si="1"/>
        <v>-600</v>
      </c>
      <c r="K6" s="47">
        <f t="shared" si="2"/>
        <v>-6.0000000000000053E-3</v>
      </c>
      <c r="L6" s="47" t="str">
        <f t="shared" si="3"/>
        <v/>
      </c>
      <c r="M6" s="14">
        <v>0.08</v>
      </c>
      <c r="N6" s="14">
        <v>0.12</v>
      </c>
      <c r="O6" s="18" t="str">
        <f t="shared" si="4"/>
        <v/>
      </c>
      <c r="P6" s="142" t="str">
        <f t="shared" si="5"/>
        <v/>
      </c>
      <c r="Q6" s="70"/>
      <c r="Y6" s="18">
        <f>O16</f>
        <v>1.3000000000000012E-2</v>
      </c>
      <c r="Z6" t="s">
        <v>138</v>
      </c>
    </row>
    <row r="7" spans="1:29" x14ac:dyDescent="0.35">
      <c r="A7" s="6"/>
      <c r="B7" t="s">
        <v>68</v>
      </c>
      <c r="C7" s="1" t="s">
        <v>8</v>
      </c>
      <c r="D7" s="1">
        <v>77.84</v>
      </c>
      <c r="E7" s="7">
        <v>9700</v>
      </c>
      <c r="F7" s="2">
        <f t="shared" si="6"/>
        <v>9.7000000000000003E-2</v>
      </c>
      <c r="G7" s="14">
        <v>0.1</v>
      </c>
      <c r="H7" s="15">
        <f t="shared" si="7"/>
        <v>10000</v>
      </c>
      <c r="I7" s="55">
        <f t="shared" si="0"/>
        <v>-3.0000000000000027E-3</v>
      </c>
      <c r="J7" s="12">
        <f t="shared" si="1"/>
        <v>-300</v>
      </c>
      <c r="K7" s="47">
        <f t="shared" si="2"/>
        <v>-3.0000000000000027E-3</v>
      </c>
      <c r="L7" s="47" t="str">
        <f t="shared" si="3"/>
        <v/>
      </c>
      <c r="M7" s="14">
        <v>0.08</v>
      </c>
      <c r="N7" s="14">
        <v>0.12</v>
      </c>
      <c r="O7" s="18" t="str">
        <f t="shared" si="4"/>
        <v/>
      </c>
      <c r="P7" s="142" t="str">
        <f t="shared" si="5"/>
        <v/>
      </c>
      <c r="Q7" s="70"/>
      <c r="Y7" s="119">
        <f>I16</f>
        <v>1.8366675698196468E-2</v>
      </c>
      <c r="Z7" s="123" t="s">
        <v>90</v>
      </c>
    </row>
    <row r="8" spans="1:29" x14ac:dyDescent="0.35">
      <c r="B8" s="8" t="s">
        <v>26</v>
      </c>
      <c r="C8" s="10" t="s">
        <v>25</v>
      </c>
      <c r="D8" s="10">
        <v>112.81</v>
      </c>
      <c r="E8" s="7">
        <v>10000</v>
      </c>
      <c r="F8" s="2">
        <f t="shared" si="6"/>
        <v>0.1</v>
      </c>
      <c r="G8" s="14">
        <v>0.1</v>
      </c>
      <c r="H8" s="15">
        <f t="shared" si="7"/>
        <v>10000</v>
      </c>
      <c r="I8" s="55">
        <f t="shared" si="0"/>
        <v>0</v>
      </c>
      <c r="J8" s="12">
        <f t="shared" si="1"/>
        <v>0</v>
      </c>
      <c r="K8" s="49" t="str">
        <f t="shared" si="2"/>
        <v/>
      </c>
      <c r="L8" s="49" t="str">
        <f t="shared" si="3"/>
        <v/>
      </c>
      <c r="M8" s="14">
        <v>0.08</v>
      </c>
      <c r="N8" s="14">
        <v>0.12</v>
      </c>
      <c r="O8" s="35" t="str">
        <f t="shared" si="4"/>
        <v/>
      </c>
      <c r="P8" s="142" t="str">
        <f t="shared" si="5"/>
        <v/>
      </c>
    </row>
    <row r="9" spans="1:29" x14ac:dyDescent="0.35">
      <c r="B9" t="s">
        <v>69</v>
      </c>
      <c r="C9" s="1" t="s">
        <v>12</v>
      </c>
      <c r="D9" s="1">
        <v>27.98</v>
      </c>
      <c r="E9" s="7">
        <v>8400</v>
      </c>
      <c r="F9" s="2">
        <f t="shared" si="6"/>
        <v>8.4000000000000005E-2</v>
      </c>
      <c r="G9" s="14">
        <v>0.08</v>
      </c>
      <c r="H9" s="15">
        <f t="shared" si="7"/>
        <v>8000</v>
      </c>
      <c r="I9" s="55">
        <f t="shared" si="0"/>
        <v>4.0000000000000036E-3</v>
      </c>
      <c r="J9" s="12">
        <f t="shared" si="1"/>
        <v>400</v>
      </c>
      <c r="K9" s="47" t="str">
        <f t="shared" si="2"/>
        <v/>
      </c>
      <c r="L9" s="47">
        <f t="shared" si="3"/>
        <v>4.0000000000000036E-3</v>
      </c>
      <c r="M9" s="14">
        <v>0.06</v>
      </c>
      <c r="N9" s="14">
        <v>0.1</v>
      </c>
      <c r="O9" s="18"/>
      <c r="P9" s="142"/>
      <c r="Y9" s="78"/>
      <c r="Z9" s="78"/>
    </row>
    <row r="10" spans="1:29" x14ac:dyDescent="0.35">
      <c r="B10" t="s">
        <v>65</v>
      </c>
      <c r="C10" s="1" t="s">
        <v>65</v>
      </c>
      <c r="D10" s="1">
        <v>1</v>
      </c>
      <c r="E10" s="7">
        <v>3000</v>
      </c>
      <c r="F10" s="2">
        <f t="shared" si="6"/>
        <v>0.03</v>
      </c>
      <c r="G10" s="14">
        <v>0.02</v>
      </c>
      <c r="H10" s="15">
        <f t="shared" si="7"/>
        <v>2000</v>
      </c>
      <c r="I10" s="55">
        <f t="shared" si="0"/>
        <v>9.9999999999999985E-3</v>
      </c>
      <c r="J10" s="12">
        <f t="shared" si="1"/>
        <v>1000</v>
      </c>
      <c r="K10" s="47" t="str">
        <f t="shared" si="2"/>
        <v/>
      </c>
      <c r="L10" s="47">
        <f t="shared" si="3"/>
        <v>9.9999999999999985E-3</v>
      </c>
      <c r="M10" s="14">
        <v>6.0000000000000001E-3</v>
      </c>
      <c r="N10" s="14">
        <v>0.04</v>
      </c>
      <c r="O10" s="18" t="str">
        <f>IF(F10&lt;M10,F10-M10,"")</f>
        <v/>
      </c>
      <c r="P10" s="142" t="str">
        <f>IF(F10&gt;N10,F10-N10,"")</f>
        <v/>
      </c>
      <c r="Q10" s="70"/>
      <c r="Y10" s="18">
        <f>F3+F4+F5+F8+F11+F12+F13</f>
        <v>0.69499999999999995</v>
      </c>
      <c r="Z10" t="s">
        <v>123</v>
      </c>
    </row>
    <row r="11" spans="1:29" x14ac:dyDescent="0.35">
      <c r="B11" t="s">
        <v>17</v>
      </c>
      <c r="C11" s="1" t="s">
        <v>5</v>
      </c>
      <c r="D11" s="1">
        <v>94.9</v>
      </c>
      <c r="E11" s="7">
        <v>11800</v>
      </c>
      <c r="F11" s="2">
        <f t="shared" si="6"/>
        <v>0.11799999999999999</v>
      </c>
      <c r="G11" s="14">
        <v>0.1</v>
      </c>
      <c r="H11" s="15">
        <f t="shared" si="7"/>
        <v>10000</v>
      </c>
      <c r="I11" s="55">
        <f t="shared" si="0"/>
        <v>1.7999999999999988E-2</v>
      </c>
      <c r="J11" s="12">
        <f t="shared" si="1"/>
        <v>1800</v>
      </c>
      <c r="K11" s="47" t="str">
        <f t="shared" si="2"/>
        <v/>
      </c>
      <c r="L11" s="47">
        <f t="shared" si="3"/>
        <v>1.7999999999999988E-2</v>
      </c>
      <c r="M11" s="14">
        <v>0.08</v>
      </c>
      <c r="N11" s="14">
        <v>0.12</v>
      </c>
      <c r="O11" s="18" t="str">
        <f>IF(F11&lt;M11,F11-M11,"")</f>
        <v/>
      </c>
      <c r="P11" s="142" t="str">
        <f>IF(F11&gt;N11,F11-N11,"")</f>
        <v/>
      </c>
      <c r="Q11" s="70"/>
      <c r="Y11" s="142">
        <f>F6+F7+F9+F10</f>
        <v>0.30500000000000005</v>
      </c>
      <c r="Z11" t="s">
        <v>124</v>
      </c>
    </row>
    <row r="12" spans="1:29" x14ac:dyDescent="0.35">
      <c r="B12" t="s">
        <v>15</v>
      </c>
      <c r="C12" s="1" t="s">
        <v>6</v>
      </c>
      <c r="D12" s="1">
        <v>197.79</v>
      </c>
      <c r="E12" s="7">
        <v>11900</v>
      </c>
      <c r="F12" s="2">
        <f t="shared" si="6"/>
        <v>0.11899999999999999</v>
      </c>
      <c r="G12" s="14">
        <v>0.1</v>
      </c>
      <c r="H12" s="15">
        <f t="shared" si="7"/>
        <v>10000</v>
      </c>
      <c r="I12" s="55">
        <f t="shared" si="0"/>
        <v>1.8999999999999989E-2</v>
      </c>
      <c r="J12" s="12">
        <f t="shared" si="1"/>
        <v>1900</v>
      </c>
      <c r="K12" s="47" t="str">
        <f t="shared" si="2"/>
        <v/>
      </c>
      <c r="L12" s="47">
        <f t="shared" si="3"/>
        <v>1.8999999999999989E-2</v>
      </c>
      <c r="M12" s="14">
        <v>0.08</v>
      </c>
      <c r="N12" s="14">
        <v>0.12</v>
      </c>
      <c r="O12" s="18" t="str">
        <f>IF(F12&lt;M12,F12-M12,"")</f>
        <v/>
      </c>
      <c r="P12" s="142" t="str">
        <f>IF(F12&gt;N12,F12-N12,"")</f>
        <v/>
      </c>
      <c r="Q12" s="70"/>
      <c r="Y12" s="1"/>
    </row>
    <row r="13" spans="1:29" x14ac:dyDescent="0.35">
      <c r="B13" s="8" t="s">
        <v>21</v>
      </c>
      <c r="C13" s="10" t="s">
        <v>20</v>
      </c>
      <c r="D13" s="10">
        <v>81.81</v>
      </c>
      <c r="E13" s="7">
        <v>12500</v>
      </c>
      <c r="F13" s="167">
        <f t="shared" si="6"/>
        <v>0.125</v>
      </c>
      <c r="G13" s="28">
        <v>0.1</v>
      </c>
      <c r="H13" s="15">
        <f t="shared" si="7"/>
        <v>10000</v>
      </c>
      <c r="I13" s="56">
        <f t="shared" si="0"/>
        <v>2.4999999999999994E-2</v>
      </c>
      <c r="J13" s="31">
        <f t="shared" si="1"/>
        <v>2500</v>
      </c>
      <c r="K13" s="48" t="str">
        <f t="shared" si="2"/>
        <v/>
      </c>
      <c r="L13" s="48">
        <f t="shared" si="3"/>
        <v>2.4999999999999994E-2</v>
      </c>
      <c r="M13" s="28">
        <v>0.08</v>
      </c>
      <c r="N13" s="28">
        <v>0.12</v>
      </c>
      <c r="O13" s="34" t="str">
        <f>IF(F13&lt;M13,F13-M13,"")</f>
        <v/>
      </c>
      <c r="P13" s="142">
        <f>IF(F13&gt;N13,F13-N13,"")</f>
        <v>5.0000000000000044E-3</v>
      </c>
      <c r="Q13" s="70"/>
      <c r="Y13" s="1"/>
    </row>
    <row r="14" spans="1:29" ht="5.25" customHeight="1" x14ac:dyDescent="0.35">
      <c r="E14" s="7"/>
      <c r="F14" s="2"/>
      <c r="G14" s="16"/>
      <c r="H14" s="16"/>
      <c r="I14" s="55"/>
      <c r="J14" s="13"/>
      <c r="K14" s="47"/>
      <c r="L14" s="47"/>
      <c r="M14" s="16"/>
      <c r="N14" s="16"/>
      <c r="O14" s="1"/>
      <c r="P14" s="143"/>
      <c r="Q14" s="70"/>
      <c r="Y14" s="1"/>
    </row>
    <row r="15" spans="1:29" x14ac:dyDescent="0.35">
      <c r="E15" s="9">
        <f>SUM(E3:E13)</f>
        <v>100000</v>
      </c>
      <c r="F15" s="2">
        <f>E15/$E15</f>
        <v>1</v>
      </c>
      <c r="G15" s="14">
        <f>SUM(G3:G13)</f>
        <v>0.99999999999999989</v>
      </c>
      <c r="H15" s="15">
        <f>SUM(H3:H13)</f>
        <v>100000</v>
      </c>
      <c r="I15" s="55">
        <f>J15/$E$15</f>
        <v>0</v>
      </c>
      <c r="J15" s="12">
        <f>SUM(J3:J13)</f>
        <v>0</v>
      </c>
      <c r="K15" s="136">
        <f>SUM(K3:K13)</f>
        <v>-7.6000000000000026E-2</v>
      </c>
      <c r="L15" s="137">
        <f>SUM(L3:L13)</f>
        <v>7.599999999999997E-2</v>
      </c>
      <c r="M15" s="14"/>
      <c r="N15" s="14"/>
      <c r="O15" s="2">
        <f>SUM(O3:O13)</f>
        <v>-8.0000000000000071E-3</v>
      </c>
      <c r="P15" s="144">
        <f>SUM(P3:P13)</f>
        <v>5.0000000000000044E-3</v>
      </c>
      <c r="Q15" s="71"/>
      <c r="Y15" s="1"/>
    </row>
    <row r="16" spans="1:29" x14ac:dyDescent="0.35">
      <c r="H16" s="133" t="s">
        <v>3</v>
      </c>
      <c r="I16" s="135">
        <f t="array" ref="I16">SQRT(MMULT(MMULT(TRANSPOSE(I3:I13),'Risk Stats for Calcs (orig ord)'!$O$3:$Y$13),I3:I13))</f>
        <v>1.8366675698196468E-2</v>
      </c>
      <c r="K16" s="131" t="s">
        <v>42</v>
      </c>
      <c r="L16" s="132" t="s">
        <v>42</v>
      </c>
      <c r="O16" s="138">
        <f>P15-O15</f>
        <v>1.3000000000000012E-2</v>
      </c>
      <c r="P16" s="145" t="s">
        <v>109</v>
      </c>
      <c r="Q16" s="72"/>
      <c r="Y16" s="1"/>
    </row>
    <row r="17" spans="1:36" x14ac:dyDescent="0.35">
      <c r="A17" s="36"/>
      <c r="B17" s="36"/>
      <c r="C17" s="36"/>
      <c r="D17" s="36"/>
      <c r="E17" s="38"/>
      <c r="F17" s="37"/>
      <c r="G17" s="36"/>
      <c r="H17" s="36"/>
      <c r="I17" s="37"/>
      <c r="J17" s="37"/>
      <c r="K17" s="37"/>
      <c r="L17" s="37"/>
      <c r="M17" s="36"/>
      <c r="N17" s="36"/>
      <c r="O17" s="36"/>
      <c r="P17" s="146"/>
      <c r="Q17" s="146"/>
      <c r="R17" s="36"/>
      <c r="S17" s="36"/>
      <c r="T17" s="36"/>
      <c r="U17" s="36"/>
      <c r="V17" s="36"/>
      <c r="W17" s="36"/>
      <c r="X17" s="36"/>
      <c r="Y17" s="37"/>
      <c r="Z17" s="36"/>
      <c r="AA17" s="36"/>
      <c r="AB17" s="36"/>
      <c r="AC17" s="36"/>
      <c r="AD17" s="36"/>
      <c r="AE17" s="36"/>
      <c r="AF17" s="36"/>
      <c r="AG17" s="36"/>
      <c r="AH17" s="36"/>
    </row>
    <row r="18" spans="1:36" s="20" customFormat="1" ht="44" customHeight="1" thickBot="1" x14ac:dyDescent="0.4">
      <c r="B18" s="106" t="s">
        <v>140</v>
      </c>
      <c r="C18" s="92" t="s">
        <v>23</v>
      </c>
      <c r="D18" s="92" t="s">
        <v>24</v>
      </c>
      <c r="E18" s="102" t="s">
        <v>118</v>
      </c>
      <c r="F18" s="92" t="s">
        <v>30</v>
      </c>
      <c r="G18" s="103" t="s">
        <v>27</v>
      </c>
      <c r="H18" s="103" t="s">
        <v>28</v>
      </c>
      <c r="I18" s="104" t="s">
        <v>31</v>
      </c>
      <c r="J18" s="104" t="s">
        <v>32</v>
      </c>
      <c r="K18" s="92" t="s">
        <v>41</v>
      </c>
      <c r="L18" s="92" t="s">
        <v>40</v>
      </c>
      <c r="M18" s="103" t="s">
        <v>43</v>
      </c>
      <c r="N18" s="103" t="s">
        <v>44</v>
      </c>
      <c r="O18" s="92" t="s">
        <v>45</v>
      </c>
      <c r="P18" s="108" t="s">
        <v>46</v>
      </c>
      <c r="Q18" s="102" t="s">
        <v>117</v>
      </c>
      <c r="R18" s="102" t="s">
        <v>116</v>
      </c>
      <c r="S18" s="92" t="s">
        <v>64</v>
      </c>
      <c r="T18" s="104" t="s">
        <v>66</v>
      </c>
      <c r="U18" s="104" t="s">
        <v>67</v>
      </c>
      <c r="V18" s="92" t="s">
        <v>41</v>
      </c>
      <c r="W18" s="92" t="s">
        <v>40</v>
      </c>
      <c r="Y18" s="92" t="s">
        <v>93</v>
      </c>
      <c r="Z18" s="75" t="s">
        <v>94</v>
      </c>
    </row>
    <row r="19" spans="1:36" x14ac:dyDescent="0.35">
      <c r="A19" s="41" t="s">
        <v>33</v>
      </c>
      <c r="B19" t="s">
        <v>14</v>
      </c>
      <c r="C19" s="1" t="s">
        <v>13</v>
      </c>
      <c r="D19" s="1">
        <v>143.66</v>
      </c>
      <c r="E19" s="7">
        <v>7400</v>
      </c>
      <c r="F19" s="167">
        <f>E19/$E$15</f>
        <v>7.3999999999999996E-2</v>
      </c>
      <c r="G19" s="14">
        <v>0.1</v>
      </c>
      <c r="H19" s="15">
        <f>$E$31*G19</f>
        <v>10000</v>
      </c>
      <c r="I19" s="55">
        <f t="shared" ref="I19:I29" si="8">F19-G19</f>
        <v>-2.6000000000000009E-2</v>
      </c>
      <c r="J19" s="43">
        <f t="shared" ref="J19:J29" si="9">E19-H19</f>
        <v>-2600</v>
      </c>
      <c r="K19" s="58">
        <f t="shared" ref="K19:K29" si="10">IF(I19&lt;0,I19,"")</f>
        <v>-2.6000000000000009E-2</v>
      </c>
      <c r="L19" s="58" t="str">
        <f t="shared" ref="L19:L29" si="11">IF(I19&gt;0,I19,"")</f>
        <v/>
      </c>
      <c r="M19" s="14">
        <v>0.08</v>
      </c>
      <c r="N19" s="14">
        <v>0.12</v>
      </c>
      <c r="O19" s="18">
        <f t="shared" ref="O19:O29" si="12">IF(F19&lt;M19,F19-M19,"")</f>
        <v>-6.0000000000000053E-3</v>
      </c>
      <c r="P19" s="59" t="str">
        <f t="shared" ref="P19:P29" si="13">IF(F19&gt;N19,F19-N19,"")</f>
        <v/>
      </c>
      <c r="Q19" s="45">
        <v>2600</v>
      </c>
      <c r="R19" s="7">
        <f t="shared" ref="R19:R29" si="14">E19+Q19</f>
        <v>10000</v>
      </c>
      <c r="S19" s="2">
        <f t="shared" ref="S19:S29" si="15">R19/$R$31</f>
        <v>0.1</v>
      </c>
      <c r="T19" s="11">
        <f t="shared" ref="T19:T29" si="16">S19-G19</f>
        <v>0</v>
      </c>
      <c r="U19" s="12">
        <f>R19-$R$31*G19</f>
        <v>0</v>
      </c>
      <c r="V19" s="47" t="str">
        <f t="shared" ref="V19:V29" si="17">IF(T19&lt;0,T19,"")</f>
        <v/>
      </c>
      <c r="W19" s="47" t="str">
        <f>IF(T19&gt;0,T19,"")</f>
        <v/>
      </c>
      <c r="Y19" s="47">
        <f>MAX(W19:W29)</f>
        <v>0</v>
      </c>
      <c r="Z19" s="121" t="s">
        <v>128</v>
      </c>
      <c r="AJ19" t="s">
        <v>99</v>
      </c>
    </row>
    <row r="20" spans="1:36" x14ac:dyDescent="0.35">
      <c r="A20" t="s">
        <v>96</v>
      </c>
      <c r="B20" t="s">
        <v>16</v>
      </c>
      <c r="C20" s="1" t="s">
        <v>4</v>
      </c>
      <c r="D20" s="1">
        <v>255.29</v>
      </c>
      <c r="E20" s="7">
        <v>7800</v>
      </c>
      <c r="F20" s="167">
        <f t="shared" ref="F20:F29" si="18">E20/$E$15</f>
        <v>7.8E-2</v>
      </c>
      <c r="G20" s="14">
        <v>0.1</v>
      </c>
      <c r="H20" s="15">
        <f t="shared" ref="H20:H29" si="19">$E$31*G20</f>
        <v>10000</v>
      </c>
      <c r="I20" s="55">
        <f t="shared" si="8"/>
        <v>-2.2000000000000006E-2</v>
      </c>
      <c r="J20" s="43">
        <f t="shared" si="9"/>
        <v>-2200</v>
      </c>
      <c r="K20" s="58">
        <f t="shared" si="10"/>
        <v>-2.2000000000000006E-2</v>
      </c>
      <c r="L20" s="58" t="str">
        <f t="shared" si="11"/>
        <v/>
      </c>
      <c r="M20" s="14">
        <v>0.08</v>
      </c>
      <c r="N20" s="14">
        <v>0.12</v>
      </c>
      <c r="O20" s="18">
        <f t="shared" si="12"/>
        <v>-2.0000000000000018E-3</v>
      </c>
      <c r="P20" s="59" t="str">
        <f t="shared" si="13"/>
        <v/>
      </c>
      <c r="Q20" s="45">
        <v>2200</v>
      </c>
      <c r="R20" s="7">
        <f t="shared" si="14"/>
        <v>10000</v>
      </c>
      <c r="S20" s="2">
        <f t="shared" si="15"/>
        <v>0.1</v>
      </c>
      <c r="T20" s="11">
        <f t="shared" si="16"/>
        <v>0</v>
      </c>
      <c r="U20" s="12">
        <f t="shared" ref="U20:U29" si="20">R20-$R$31*G20</f>
        <v>0</v>
      </c>
      <c r="V20" s="47" t="str">
        <f t="shared" si="17"/>
        <v/>
      </c>
      <c r="W20" s="47"/>
      <c r="Y20" s="119">
        <f>MIN(V19:V29)</f>
        <v>0</v>
      </c>
      <c r="Z20" s="123" t="s">
        <v>129</v>
      </c>
    </row>
    <row r="21" spans="1:36" x14ac:dyDescent="0.35">
      <c r="A21" t="s">
        <v>100</v>
      </c>
      <c r="B21" s="8" t="s">
        <v>18</v>
      </c>
      <c r="C21" s="10" t="s">
        <v>19</v>
      </c>
      <c r="D21" s="10">
        <v>140.66999999999999</v>
      </c>
      <c r="E21" s="7">
        <v>8100</v>
      </c>
      <c r="F21" s="2">
        <f t="shared" si="18"/>
        <v>8.1000000000000003E-2</v>
      </c>
      <c r="G21" s="28">
        <v>0.1</v>
      </c>
      <c r="H21" s="15">
        <f t="shared" si="19"/>
        <v>10000</v>
      </c>
      <c r="I21" s="56">
        <f t="shared" si="8"/>
        <v>-1.9000000000000003E-2</v>
      </c>
      <c r="J21" s="43">
        <f t="shared" si="9"/>
        <v>-1900</v>
      </c>
      <c r="K21" s="48">
        <f t="shared" si="10"/>
        <v>-1.9000000000000003E-2</v>
      </c>
      <c r="L21" s="48" t="str">
        <f t="shared" si="11"/>
        <v/>
      </c>
      <c r="M21" s="28">
        <v>0.08</v>
      </c>
      <c r="N21" s="28">
        <v>0.12</v>
      </c>
      <c r="O21" s="34" t="str">
        <f t="shared" si="12"/>
        <v/>
      </c>
      <c r="P21" s="59" t="str">
        <f t="shared" si="13"/>
        <v/>
      </c>
      <c r="Q21" s="45">
        <v>1900</v>
      </c>
      <c r="R21" s="7">
        <f t="shared" si="14"/>
        <v>10000</v>
      </c>
      <c r="S21" s="2">
        <f t="shared" si="15"/>
        <v>0.1</v>
      </c>
      <c r="T21" s="11">
        <f t="shared" si="16"/>
        <v>0</v>
      </c>
      <c r="U21" s="12">
        <f t="shared" si="20"/>
        <v>0</v>
      </c>
      <c r="V21" s="48" t="str">
        <f t="shared" si="17"/>
        <v/>
      </c>
      <c r="W21" s="48" t="str">
        <f t="shared" ref="W21:W29" si="21">IF(T21&gt;0,T21,"")</f>
        <v/>
      </c>
      <c r="Y21" s="47">
        <f>W31</f>
        <v>0</v>
      </c>
      <c r="Z21" s="121" t="s">
        <v>130</v>
      </c>
    </row>
    <row r="22" spans="1:36" x14ac:dyDescent="0.35">
      <c r="A22" t="s">
        <v>103</v>
      </c>
      <c r="B22" t="s">
        <v>9</v>
      </c>
      <c r="C22" s="1" t="s">
        <v>10</v>
      </c>
      <c r="D22" s="1">
        <v>92.49</v>
      </c>
      <c r="E22" s="7">
        <v>9400</v>
      </c>
      <c r="F22" s="2">
        <f t="shared" si="18"/>
        <v>9.4E-2</v>
      </c>
      <c r="G22" s="14">
        <v>0.1</v>
      </c>
      <c r="H22" s="15">
        <f t="shared" si="19"/>
        <v>10000</v>
      </c>
      <c r="I22" s="55">
        <f t="shared" si="8"/>
        <v>-6.0000000000000053E-3</v>
      </c>
      <c r="J22" s="43">
        <f t="shared" si="9"/>
        <v>-600</v>
      </c>
      <c r="K22" s="58">
        <f t="shared" si="10"/>
        <v>-6.0000000000000053E-3</v>
      </c>
      <c r="L22" s="58" t="str">
        <f t="shared" si="11"/>
        <v/>
      </c>
      <c r="M22" s="14">
        <v>0.08</v>
      </c>
      <c r="N22" s="14">
        <v>0.12</v>
      </c>
      <c r="O22" s="18" t="str">
        <f t="shared" si="12"/>
        <v/>
      </c>
      <c r="P22" s="59" t="str">
        <f t="shared" si="13"/>
        <v/>
      </c>
      <c r="Q22" s="45">
        <v>600</v>
      </c>
      <c r="R22" s="7">
        <f t="shared" si="14"/>
        <v>10000</v>
      </c>
      <c r="S22" s="2">
        <f t="shared" si="15"/>
        <v>0.1</v>
      </c>
      <c r="T22" s="11">
        <f t="shared" si="16"/>
        <v>0</v>
      </c>
      <c r="U22" s="12">
        <f t="shared" si="20"/>
        <v>0</v>
      </c>
      <c r="V22" s="47" t="str">
        <f t="shared" si="17"/>
        <v/>
      </c>
      <c r="W22" s="47" t="str">
        <f t="shared" si="21"/>
        <v/>
      </c>
      <c r="Y22" s="18">
        <v>0</v>
      </c>
      <c r="Z22" t="s">
        <v>138</v>
      </c>
    </row>
    <row r="23" spans="1:36" x14ac:dyDescent="0.35">
      <c r="A23" s="6"/>
      <c r="B23" t="s">
        <v>68</v>
      </c>
      <c r="C23" s="1" t="s">
        <v>8</v>
      </c>
      <c r="D23" s="1">
        <v>77.84</v>
      </c>
      <c r="E23" s="7">
        <v>9700</v>
      </c>
      <c r="F23" s="2">
        <f t="shared" si="18"/>
        <v>9.7000000000000003E-2</v>
      </c>
      <c r="G23" s="14">
        <v>0.1</v>
      </c>
      <c r="H23" s="15">
        <f t="shared" si="19"/>
        <v>10000</v>
      </c>
      <c r="I23" s="55">
        <f t="shared" si="8"/>
        <v>-3.0000000000000027E-3</v>
      </c>
      <c r="J23" s="43">
        <f t="shared" si="9"/>
        <v>-300</v>
      </c>
      <c r="K23" s="58">
        <f t="shared" si="10"/>
        <v>-3.0000000000000027E-3</v>
      </c>
      <c r="L23" s="58" t="str">
        <f t="shared" si="11"/>
        <v/>
      </c>
      <c r="M23" s="14">
        <v>0.08</v>
      </c>
      <c r="N23" s="14">
        <v>0.12</v>
      </c>
      <c r="O23" s="18" t="str">
        <f t="shared" si="12"/>
        <v/>
      </c>
      <c r="P23" s="59" t="str">
        <f t="shared" si="13"/>
        <v/>
      </c>
      <c r="Q23" s="45">
        <v>300</v>
      </c>
      <c r="R23" s="7">
        <f t="shared" si="14"/>
        <v>10000</v>
      </c>
      <c r="S23" s="2">
        <f t="shared" si="15"/>
        <v>0.1</v>
      </c>
      <c r="T23" s="11">
        <f t="shared" si="16"/>
        <v>0</v>
      </c>
      <c r="U23" s="12">
        <f t="shared" si="20"/>
        <v>0</v>
      </c>
      <c r="V23" s="47" t="str">
        <f t="shared" si="17"/>
        <v/>
      </c>
      <c r="W23" s="47" t="str">
        <f t="shared" si="21"/>
        <v/>
      </c>
      <c r="Y23" s="119">
        <f>T32</f>
        <v>0</v>
      </c>
      <c r="Z23" s="123" t="s">
        <v>90</v>
      </c>
    </row>
    <row r="24" spans="1:36" x14ac:dyDescent="0.35">
      <c r="B24" s="8" t="s">
        <v>26</v>
      </c>
      <c r="C24" s="10" t="s">
        <v>25</v>
      </c>
      <c r="D24" s="10">
        <v>112.81</v>
      </c>
      <c r="E24" s="7">
        <v>10000</v>
      </c>
      <c r="F24" s="2">
        <f t="shared" si="18"/>
        <v>0.1</v>
      </c>
      <c r="G24" s="14">
        <v>0.1</v>
      </c>
      <c r="H24" s="15">
        <f t="shared" si="19"/>
        <v>10000</v>
      </c>
      <c r="I24" s="55">
        <f t="shared" si="8"/>
        <v>0</v>
      </c>
      <c r="J24" s="43">
        <f t="shared" si="9"/>
        <v>0</v>
      </c>
      <c r="K24" s="48" t="str">
        <f t="shared" si="10"/>
        <v/>
      </c>
      <c r="L24" s="48" t="str">
        <f t="shared" si="11"/>
        <v/>
      </c>
      <c r="M24" s="14">
        <v>0.08</v>
      </c>
      <c r="N24" s="14">
        <v>0.12</v>
      </c>
      <c r="O24" s="35" t="str">
        <f t="shared" si="12"/>
        <v/>
      </c>
      <c r="P24" s="59" t="str">
        <f t="shared" si="13"/>
        <v/>
      </c>
      <c r="Q24" s="45">
        <v>0</v>
      </c>
      <c r="R24" s="7">
        <f t="shared" si="14"/>
        <v>10000</v>
      </c>
      <c r="S24" s="2">
        <f t="shared" si="15"/>
        <v>0.1</v>
      </c>
      <c r="T24" s="11">
        <f t="shared" si="16"/>
        <v>0</v>
      </c>
      <c r="U24" s="12">
        <f t="shared" si="20"/>
        <v>0</v>
      </c>
      <c r="V24" s="49" t="str">
        <f t="shared" si="17"/>
        <v/>
      </c>
      <c r="W24" s="49" t="str">
        <f t="shared" si="21"/>
        <v/>
      </c>
      <c r="Y24" s="1">
        <f>COUNTIF(Q19:Q29,"&lt;&gt;0")</f>
        <v>10</v>
      </c>
      <c r="Z24" s="140" t="s">
        <v>92</v>
      </c>
    </row>
    <row r="25" spans="1:36" x14ac:dyDescent="0.35">
      <c r="B25" t="s">
        <v>69</v>
      </c>
      <c r="C25" s="1" t="s">
        <v>12</v>
      </c>
      <c r="D25" s="1">
        <v>27.98</v>
      </c>
      <c r="E25" s="7">
        <v>8400</v>
      </c>
      <c r="F25" s="2">
        <f t="shared" si="18"/>
        <v>8.4000000000000005E-2</v>
      </c>
      <c r="G25" s="14">
        <v>0.08</v>
      </c>
      <c r="H25" s="15">
        <f t="shared" si="19"/>
        <v>8000</v>
      </c>
      <c r="I25" s="55">
        <f t="shared" si="8"/>
        <v>4.0000000000000036E-3</v>
      </c>
      <c r="J25" s="43">
        <f t="shared" si="9"/>
        <v>400</v>
      </c>
      <c r="K25" s="58" t="str">
        <f t="shared" si="10"/>
        <v/>
      </c>
      <c r="L25" s="58">
        <f t="shared" si="11"/>
        <v>4.0000000000000036E-3</v>
      </c>
      <c r="M25" s="14">
        <v>0.06</v>
      </c>
      <c r="N25" s="14">
        <v>0.1</v>
      </c>
      <c r="O25" s="18" t="str">
        <f t="shared" si="12"/>
        <v/>
      </c>
      <c r="P25" s="59" t="str">
        <f t="shared" si="13"/>
        <v/>
      </c>
      <c r="Q25" s="45">
        <v>-400</v>
      </c>
      <c r="R25" s="7">
        <f t="shared" si="14"/>
        <v>8000</v>
      </c>
      <c r="S25" s="2">
        <f t="shared" si="15"/>
        <v>0.08</v>
      </c>
      <c r="T25" s="11">
        <f t="shared" si="16"/>
        <v>0</v>
      </c>
      <c r="U25" s="12">
        <f t="shared" si="20"/>
        <v>0</v>
      </c>
      <c r="V25" s="47" t="str">
        <f t="shared" si="17"/>
        <v/>
      </c>
      <c r="W25" s="47" t="str">
        <f t="shared" si="21"/>
        <v/>
      </c>
      <c r="Y25" s="148">
        <f>ABS(Q19)+ABS(Q20)+ABS(Q21)+ABS(Q22)+ABS(Q23)+ABS(Q24)+ABS(Q25)+ABS(Q28)+ABS(Q29)</f>
        <v>12400</v>
      </c>
      <c r="Z25" s="78" t="s">
        <v>139</v>
      </c>
    </row>
    <row r="26" spans="1:36" x14ac:dyDescent="0.35">
      <c r="B26" t="s">
        <v>65</v>
      </c>
      <c r="C26" s="1" t="s">
        <v>65</v>
      </c>
      <c r="D26" s="42">
        <v>1</v>
      </c>
      <c r="E26" s="7">
        <v>3000</v>
      </c>
      <c r="F26" s="2">
        <f t="shared" si="18"/>
        <v>0.03</v>
      </c>
      <c r="G26" s="14">
        <v>0.02</v>
      </c>
      <c r="H26" s="15">
        <f t="shared" si="19"/>
        <v>2000</v>
      </c>
      <c r="I26" s="55">
        <f t="shared" si="8"/>
        <v>9.9999999999999985E-3</v>
      </c>
      <c r="J26" s="43">
        <f t="shared" si="9"/>
        <v>1000</v>
      </c>
      <c r="K26" s="58" t="str">
        <f t="shared" si="10"/>
        <v/>
      </c>
      <c r="L26" s="58">
        <f t="shared" si="11"/>
        <v>9.9999999999999985E-3</v>
      </c>
      <c r="M26" s="14">
        <v>6.0000000000000001E-3</v>
      </c>
      <c r="N26" s="14">
        <v>0.04</v>
      </c>
      <c r="O26" s="18" t="str">
        <f t="shared" si="12"/>
        <v/>
      </c>
      <c r="P26" s="59" t="str">
        <f t="shared" si="13"/>
        <v/>
      </c>
      <c r="Q26" s="45">
        <v>-1000</v>
      </c>
      <c r="R26" s="7">
        <f t="shared" si="14"/>
        <v>2000</v>
      </c>
      <c r="S26" s="2">
        <f t="shared" si="15"/>
        <v>0.02</v>
      </c>
      <c r="T26" s="11">
        <f t="shared" si="16"/>
        <v>0</v>
      </c>
      <c r="U26" s="12">
        <f t="shared" si="20"/>
        <v>0</v>
      </c>
      <c r="V26" s="47" t="str">
        <f t="shared" si="17"/>
        <v/>
      </c>
      <c r="W26" s="47" t="str">
        <f t="shared" si="21"/>
        <v/>
      </c>
      <c r="Y26" s="18">
        <f>S19+S20+S21+S24+S27+S28+S29</f>
        <v>0.7</v>
      </c>
      <c r="Z26" t="s">
        <v>123</v>
      </c>
    </row>
    <row r="27" spans="1:36" x14ac:dyDescent="0.35">
      <c r="B27" t="s">
        <v>17</v>
      </c>
      <c r="C27" s="1" t="s">
        <v>5</v>
      </c>
      <c r="D27" s="1">
        <v>94.9</v>
      </c>
      <c r="E27" s="7">
        <v>11800</v>
      </c>
      <c r="F27" s="2">
        <f t="shared" si="18"/>
        <v>0.11799999999999999</v>
      </c>
      <c r="G27" s="14">
        <v>0.1</v>
      </c>
      <c r="H27" s="15">
        <f t="shared" si="19"/>
        <v>10000</v>
      </c>
      <c r="I27" s="55">
        <f t="shared" si="8"/>
        <v>1.7999999999999988E-2</v>
      </c>
      <c r="J27" s="43">
        <f t="shared" si="9"/>
        <v>1800</v>
      </c>
      <c r="K27" s="58" t="str">
        <f t="shared" si="10"/>
        <v/>
      </c>
      <c r="L27" s="58">
        <f t="shared" si="11"/>
        <v>1.7999999999999988E-2</v>
      </c>
      <c r="M27" s="14">
        <v>0.08</v>
      </c>
      <c r="N27" s="14">
        <v>0.12</v>
      </c>
      <c r="O27" s="18" t="str">
        <f t="shared" si="12"/>
        <v/>
      </c>
      <c r="P27" s="59" t="str">
        <f t="shared" si="13"/>
        <v/>
      </c>
      <c r="Q27" s="45">
        <v>-1800</v>
      </c>
      <c r="R27" s="7">
        <f t="shared" si="14"/>
        <v>10000</v>
      </c>
      <c r="S27" s="2">
        <f t="shared" si="15"/>
        <v>0.1</v>
      </c>
      <c r="T27" s="11">
        <f t="shared" si="16"/>
        <v>0</v>
      </c>
      <c r="U27" s="12">
        <f t="shared" si="20"/>
        <v>0</v>
      </c>
      <c r="V27" s="47" t="str">
        <f t="shared" si="17"/>
        <v/>
      </c>
      <c r="W27" s="47" t="str">
        <f t="shared" si="21"/>
        <v/>
      </c>
      <c r="X27" s="118"/>
      <c r="Y27" s="142">
        <f>S22+S23+S25+S26</f>
        <v>0.30000000000000004</v>
      </c>
      <c r="Z27" t="s">
        <v>124</v>
      </c>
    </row>
    <row r="28" spans="1:36" x14ac:dyDescent="0.35">
      <c r="B28" t="s">
        <v>15</v>
      </c>
      <c r="C28" s="1" t="s">
        <v>6</v>
      </c>
      <c r="D28" s="1">
        <v>197.79</v>
      </c>
      <c r="E28" s="7">
        <v>11900</v>
      </c>
      <c r="F28" s="2">
        <f t="shared" si="18"/>
        <v>0.11899999999999999</v>
      </c>
      <c r="G28" s="14">
        <v>0.1</v>
      </c>
      <c r="H28" s="15">
        <f t="shared" si="19"/>
        <v>10000</v>
      </c>
      <c r="I28" s="55">
        <f t="shared" si="8"/>
        <v>1.8999999999999989E-2</v>
      </c>
      <c r="J28" s="43">
        <f t="shared" si="9"/>
        <v>1900</v>
      </c>
      <c r="K28" s="58" t="str">
        <f t="shared" si="10"/>
        <v/>
      </c>
      <c r="L28" s="58">
        <f t="shared" si="11"/>
        <v>1.8999999999999989E-2</v>
      </c>
      <c r="M28" s="14">
        <v>0.08</v>
      </c>
      <c r="N28" s="14">
        <v>0.12</v>
      </c>
      <c r="O28" s="18" t="str">
        <f t="shared" si="12"/>
        <v/>
      </c>
      <c r="P28" s="59" t="str">
        <f t="shared" si="13"/>
        <v/>
      </c>
      <c r="Q28" s="45">
        <v>-1900</v>
      </c>
      <c r="R28" s="7">
        <f t="shared" si="14"/>
        <v>10000</v>
      </c>
      <c r="S28" s="2">
        <f t="shared" si="15"/>
        <v>0.1</v>
      </c>
      <c r="T28" s="11">
        <f t="shared" si="16"/>
        <v>0</v>
      </c>
      <c r="U28" s="12">
        <f t="shared" si="20"/>
        <v>0</v>
      </c>
      <c r="V28" s="47" t="str">
        <f t="shared" si="17"/>
        <v/>
      </c>
      <c r="W28" s="47" t="str">
        <f t="shared" si="21"/>
        <v/>
      </c>
      <c r="X28" s="118"/>
      <c r="Y28" s="1"/>
    </row>
    <row r="29" spans="1:36" x14ac:dyDescent="0.35">
      <c r="B29" s="8" t="s">
        <v>21</v>
      </c>
      <c r="C29" s="10" t="s">
        <v>20</v>
      </c>
      <c r="D29" s="10">
        <v>81.81</v>
      </c>
      <c r="E29" s="7">
        <v>12500</v>
      </c>
      <c r="F29" s="167">
        <f t="shared" si="18"/>
        <v>0.125</v>
      </c>
      <c r="G29" s="28">
        <v>0.1</v>
      </c>
      <c r="H29" s="15">
        <f t="shared" si="19"/>
        <v>10000</v>
      </c>
      <c r="I29" s="56">
        <f t="shared" si="8"/>
        <v>2.4999999999999994E-2</v>
      </c>
      <c r="J29" s="43">
        <f t="shared" si="9"/>
        <v>2500</v>
      </c>
      <c r="K29" s="48" t="str">
        <f t="shared" si="10"/>
        <v/>
      </c>
      <c r="L29" s="48">
        <f t="shared" si="11"/>
        <v>2.4999999999999994E-2</v>
      </c>
      <c r="M29" s="28">
        <v>0.08</v>
      </c>
      <c r="N29" s="28">
        <v>0.12</v>
      </c>
      <c r="O29" s="34" t="str">
        <f t="shared" si="12"/>
        <v/>
      </c>
      <c r="P29" s="59">
        <f t="shared" si="13"/>
        <v>5.0000000000000044E-3</v>
      </c>
      <c r="Q29" s="45">
        <v>-2500</v>
      </c>
      <c r="R29" s="7">
        <f t="shared" si="14"/>
        <v>10000</v>
      </c>
      <c r="S29" s="2">
        <f t="shared" si="15"/>
        <v>0.1</v>
      </c>
      <c r="T29" s="11">
        <f t="shared" si="16"/>
        <v>0</v>
      </c>
      <c r="U29" s="12">
        <f t="shared" si="20"/>
        <v>0</v>
      </c>
      <c r="V29" s="48" t="str">
        <f t="shared" si="17"/>
        <v/>
      </c>
      <c r="W29" s="48" t="str">
        <f t="shared" si="21"/>
        <v/>
      </c>
      <c r="Y29" s="1"/>
    </row>
    <row r="30" spans="1:36" ht="5.25" customHeight="1" x14ac:dyDescent="0.35">
      <c r="E30" s="7"/>
      <c r="F30" s="2"/>
      <c r="G30" s="16"/>
      <c r="H30" s="16"/>
      <c r="I30" s="55"/>
      <c r="J30" s="13"/>
      <c r="K30" s="47"/>
      <c r="L30" s="47"/>
      <c r="M30" s="16"/>
      <c r="N30" s="16"/>
      <c r="O30" s="1"/>
      <c r="P30" s="60"/>
      <c r="Q30" s="7"/>
      <c r="R30" s="7"/>
      <c r="S30" s="2"/>
      <c r="T30" s="11"/>
      <c r="U30" s="13"/>
      <c r="V30" s="47"/>
      <c r="W30" s="47"/>
      <c r="Y30" s="1"/>
    </row>
    <row r="31" spans="1:36" x14ac:dyDescent="0.35">
      <c r="E31" s="9">
        <f>SUM(E19:E29)</f>
        <v>100000</v>
      </c>
      <c r="F31" s="2">
        <f>E31/$E31</f>
        <v>1</v>
      </c>
      <c r="G31" s="14">
        <f>SUM(G19:G29)</f>
        <v>0.99999999999999989</v>
      </c>
      <c r="H31" s="15">
        <f>SUM(H19:H29)</f>
        <v>100000</v>
      </c>
      <c r="I31" s="55">
        <f>F31-G31</f>
        <v>0</v>
      </c>
      <c r="J31" s="12">
        <f>SUM(J19:J29)</f>
        <v>0</v>
      </c>
      <c r="K31" s="136">
        <f>SUM(K19:K29)</f>
        <v>-7.6000000000000026E-2</v>
      </c>
      <c r="L31" s="137">
        <f>SUM(L19:L29)</f>
        <v>7.599999999999997E-2</v>
      </c>
      <c r="M31" s="14"/>
      <c r="N31" s="14"/>
      <c r="O31" s="2">
        <f>SUM(O19:O29)</f>
        <v>-8.0000000000000071E-3</v>
      </c>
      <c r="P31" s="61">
        <f>SUM(P19:P29)</f>
        <v>5.0000000000000044E-3</v>
      </c>
      <c r="Q31" s="3">
        <f>SUM(Q19:Q29)</f>
        <v>0</v>
      </c>
      <c r="R31" s="9">
        <f>SUM(R19:R29)</f>
        <v>100000</v>
      </c>
      <c r="S31" s="2">
        <f t="shared" ref="S31" si="22">R31/$R$31</f>
        <v>1</v>
      </c>
      <c r="T31" s="11">
        <f>-SUM(T19:T29)</f>
        <v>0</v>
      </c>
      <c r="U31" s="12">
        <f>SUM(U19:U29)</f>
        <v>0</v>
      </c>
      <c r="V31" s="136">
        <f>SUM(V19:V29)</f>
        <v>0</v>
      </c>
      <c r="W31" s="137">
        <f>SUM(W19:W29)</f>
        <v>0</v>
      </c>
      <c r="Y31" s="1"/>
    </row>
    <row r="32" spans="1:36" x14ac:dyDescent="0.35">
      <c r="H32" s="133" t="s">
        <v>3</v>
      </c>
      <c r="I32" s="135">
        <f t="array" ref="I32">SQRT(MMULT(MMULT(TRANSPOSE(I19:I29),'Risk Stats for Calcs (orig ord)'!$O$3:$Y$13),I19:I29))</f>
        <v>1.8366675698196468E-2</v>
      </c>
      <c r="K32" s="131" t="s">
        <v>42</v>
      </c>
      <c r="L32" s="132" t="s">
        <v>42</v>
      </c>
      <c r="O32" s="138">
        <f>P31-O31</f>
        <v>1.3000000000000012E-2</v>
      </c>
      <c r="P32" s="139" t="s">
        <v>109</v>
      </c>
      <c r="S32" s="133" t="s">
        <v>3</v>
      </c>
      <c r="T32" s="135">
        <f t="array" ref="T32">SQRT(MMULT(MMULT(TRANSPOSE(T19:T29),'Risk Stats for Calcs (orig ord)'!$O$3:$Y$13),T19:T29))</f>
        <v>0</v>
      </c>
      <c r="U32" s="1"/>
      <c r="V32" s="131" t="s">
        <v>42</v>
      </c>
      <c r="W32" s="132" t="s">
        <v>42</v>
      </c>
      <c r="Y32" s="1"/>
    </row>
    <row r="33" spans="1:36" x14ac:dyDescent="0.35">
      <c r="A33" s="36"/>
      <c r="B33" s="36"/>
      <c r="C33" s="36"/>
      <c r="D33" s="36"/>
      <c r="E33" s="38"/>
      <c r="F33" s="37"/>
      <c r="G33" s="36"/>
      <c r="H33" s="36"/>
      <c r="I33" s="37"/>
      <c r="J33" s="37"/>
      <c r="K33" s="37"/>
      <c r="L33" s="37"/>
      <c r="M33" s="36"/>
      <c r="N33" s="36"/>
      <c r="O33" s="36"/>
      <c r="P33" s="62"/>
      <c r="Q33" s="36"/>
      <c r="R33" s="36"/>
      <c r="S33" s="36"/>
      <c r="T33" s="36"/>
      <c r="U33" s="36"/>
      <c r="V33" s="36"/>
      <c r="W33" s="36"/>
      <c r="X33" s="36"/>
      <c r="Y33" s="37"/>
      <c r="Z33" s="36"/>
      <c r="AA33" s="36"/>
      <c r="AB33" s="36"/>
      <c r="AC33" s="36"/>
      <c r="AD33" s="36"/>
      <c r="AE33" s="36"/>
      <c r="AF33" s="36"/>
      <c r="AG33" s="36"/>
      <c r="AH33" s="36"/>
    </row>
    <row r="34" spans="1:36" ht="44" customHeight="1" thickBot="1" x14ac:dyDescent="0.4">
      <c r="B34" s="106" t="s">
        <v>143</v>
      </c>
      <c r="C34" s="92" t="s">
        <v>23</v>
      </c>
      <c r="D34" s="92" t="s">
        <v>24</v>
      </c>
      <c r="E34" s="102" t="s">
        <v>118</v>
      </c>
      <c r="F34" s="92" t="s">
        <v>30</v>
      </c>
      <c r="G34" s="103" t="s">
        <v>27</v>
      </c>
      <c r="H34" s="103" t="s">
        <v>28</v>
      </c>
      <c r="I34" s="104" t="s">
        <v>31</v>
      </c>
      <c r="J34" s="104" t="s">
        <v>32</v>
      </c>
      <c r="K34" s="92" t="s">
        <v>41</v>
      </c>
      <c r="L34" s="92" t="s">
        <v>40</v>
      </c>
      <c r="M34" s="103" t="s">
        <v>43</v>
      </c>
      <c r="N34" s="103" t="s">
        <v>44</v>
      </c>
      <c r="O34" s="92" t="s">
        <v>45</v>
      </c>
      <c r="P34" s="108" t="s">
        <v>46</v>
      </c>
      <c r="Q34" s="102" t="s">
        <v>117</v>
      </c>
      <c r="R34" s="102" t="s">
        <v>116</v>
      </c>
      <c r="S34" s="92" t="s">
        <v>64</v>
      </c>
      <c r="T34" s="104" t="s">
        <v>66</v>
      </c>
      <c r="U34" s="104" t="s">
        <v>67</v>
      </c>
      <c r="V34" s="92" t="s">
        <v>41</v>
      </c>
      <c r="W34" s="92" t="s">
        <v>40</v>
      </c>
      <c r="Y34" s="92" t="s">
        <v>93</v>
      </c>
      <c r="Z34" s="75" t="s">
        <v>94</v>
      </c>
      <c r="AJ34" t="s">
        <v>97</v>
      </c>
    </row>
    <row r="35" spans="1:36" x14ac:dyDescent="0.35">
      <c r="A35" s="39" t="s">
        <v>33</v>
      </c>
      <c r="B35" t="s">
        <v>14</v>
      </c>
      <c r="C35" s="1" t="s">
        <v>13</v>
      </c>
      <c r="D35" s="1">
        <v>143.66</v>
      </c>
      <c r="E35" s="7">
        <v>7400</v>
      </c>
      <c r="F35" s="167">
        <f>E35/$E$15</f>
        <v>7.3999999999999996E-2</v>
      </c>
      <c r="G35" s="14">
        <v>0.1</v>
      </c>
      <c r="H35" s="15">
        <f t="shared" ref="H35:H45" si="23">$E$47*G35</f>
        <v>10000</v>
      </c>
      <c r="I35" s="55">
        <f t="shared" ref="I35:I45" si="24">F35-G35</f>
        <v>-2.6000000000000009E-2</v>
      </c>
      <c r="J35" s="43">
        <f t="shared" ref="J35:J45" si="25">E35-H35</f>
        <v>-2600</v>
      </c>
      <c r="K35" s="50">
        <f t="shared" ref="K35:K45" si="26">IF(I35&lt;0,I35,"")</f>
        <v>-2.6000000000000009E-2</v>
      </c>
      <c r="L35" s="58" t="str">
        <f t="shared" ref="L35:L45" si="27">IF(I35&gt;0,I35,"")</f>
        <v/>
      </c>
      <c r="M35" s="14">
        <v>0.08</v>
      </c>
      <c r="N35" s="14">
        <v>0.12</v>
      </c>
      <c r="O35" s="44">
        <f t="shared" ref="O35:O45" si="28">IF(F35&lt;M35,F35-M35,"")</f>
        <v>-6.0000000000000053E-3</v>
      </c>
      <c r="P35" s="59" t="str">
        <f t="shared" ref="P35:P45" si="29">IF(F35&gt;N35,F35-N35,"")</f>
        <v/>
      </c>
      <c r="Q35" s="45">
        <v>600</v>
      </c>
      <c r="R35" s="7">
        <f t="shared" ref="R35:R45" si="30">E35+Q35</f>
        <v>8000</v>
      </c>
      <c r="S35" s="2">
        <f t="shared" ref="S35:S45" si="31">R35/$R$47</f>
        <v>0.08</v>
      </c>
      <c r="T35" s="11">
        <f t="shared" ref="T35:T45" si="32">S35-G35</f>
        <v>-2.0000000000000004E-2</v>
      </c>
      <c r="U35" s="12">
        <f t="shared" ref="U35:U45" si="33">R35-$R$47*G35</f>
        <v>-2000</v>
      </c>
      <c r="V35" s="47">
        <f t="shared" ref="V35:V45" si="34">IF(T35&lt;0,T35,"")</f>
        <v>-2.0000000000000004E-2</v>
      </c>
      <c r="W35" s="47" t="str">
        <f>IF(T35&gt;0,T35,"")</f>
        <v/>
      </c>
      <c r="Y35" s="47">
        <f>MAX(W35:W45)</f>
        <v>1.999999999999999E-2</v>
      </c>
      <c r="Z35" s="121" t="s">
        <v>128</v>
      </c>
      <c r="AJ35" t="s">
        <v>98</v>
      </c>
    </row>
    <row r="36" spans="1:36" x14ac:dyDescent="0.35">
      <c r="A36" s="40" t="s">
        <v>96</v>
      </c>
      <c r="B36" t="s">
        <v>16</v>
      </c>
      <c r="C36" s="1" t="s">
        <v>4</v>
      </c>
      <c r="D36" s="1">
        <v>255.29</v>
      </c>
      <c r="E36" s="7">
        <v>7800</v>
      </c>
      <c r="F36" s="167">
        <f t="shared" ref="F36:F45" si="35">E36/$E$15</f>
        <v>7.8E-2</v>
      </c>
      <c r="G36" s="14">
        <v>0.1</v>
      </c>
      <c r="H36" s="15">
        <f t="shared" si="23"/>
        <v>10000</v>
      </c>
      <c r="I36" s="55">
        <f t="shared" si="24"/>
        <v>-2.2000000000000006E-2</v>
      </c>
      <c r="J36" s="43">
        <f t="shared" si="25"/>
        <v>-2200</v>
      </c>
      <c r="K36" s="50">
        <f t="shared" si="26"/>
        <v>-2.2000000000000006E-2</v>
      </c>
      <c r="L36" s="58" t="str">
        <f t="shared" si="27"/>
        <v/>
      </c>
      <c r="M36" s="14">
        <v>0.08</v>
      </c>
      <c r="N36" s="14">
        <v>0.12</v>
      </c>
      <c r="O36" s="44">
        <f t="shared" si="28"/>
        <v>-2.0000000000000018E-3</v>
      </c>
      <c r="P36" s="59" t="str">
        <f t="shared" si="29"/>
        <v/>
      </c>
      <c r="Q36" s="45">
        <v>200</v>
      </c>
      <c r="R36" s="7">
        <f t="shared" si="30"/>
        <v>8000</v>
      </c>
      <c r="S36" s="2">
        <f t="shared" si="31"/>
        <v>0.08</v>
      </c>
      <c r="T36" s="11">
        <f t="shared" si="32"/>
        <v>-2.0000000000000004E-2</v>
      </c>
      <c r="U36" s="12">
        <f t="shared" si="33"/>
        <v>-2000</v>
      </c>
      <c r="V36" s="47">
        <f t="shared" si="34"/>
        <v>-2.0000000000000004E-2</v>
      </c>
      <c r="W36" s="47"/>
      <c r="Y36" s="119">
        <f>MIN(V35:V45)</f>
        <v>-2.0000000000000004E-2</v>
      </c>
      <c r="Z36" s="123" t="s">
        <v>129</v>
      </c>
    </row>
    <row r="37" spans="1:36" x14ac:dyDescent="0.35">
      <c r="A37" t="s">
        <v>100</v>
      </c>
      <c r="B37" s="8" t="s">
        <v>18</v>
      </c>
      <c r="C37" s="10" t="s">
        <v>19</v>
      </c>
      <c r="D37" s="10">
        <v>140.66999999999999</v>
      </c>
      <c r="E37" s="7">
        <v>8100</v>
      </c>
      <c r="F37" s="2">
        <f t="shared" si="35"/>
        <v>8.1000000000000003E-2</v>
      </c>
      <c r="G37" s="28">
        <v>0.1</v>
      </c>
      <c r="H37" s="15">
        <f t="shared" si="23"/>
        <v>10000</v>
      </c>
      <c r="I37" s="56">
        <f t="shared" si="24"/>
        <v>-1.9000000000000003E-2</v>
      </c>
      <c r="J37" s="31">
        <f t="shared" si="25"/>
        <v>-1900</v>
      </c>
      <c r="K37" s="48">
        <f t="shared" si="26"/>
        <v>-1.9000000000000003E-2</v>
      </c>
      <c r="L37" s="48" t="str">
        <f t="shared" si="27"/>
        <v/>
      </c>
      <c r="M37" s="28">
        <v>0.08</v>
      </c>
      <c r="N37" s="28">
        <v>0.12</v>
      </c>
      <c r="O37" s="34" t="str">
        <f t="shared" si="28"/>
        <v/>
      </c>
      <c r="P37" s="63" t="str">
        <f t="shared" si="29"/>
        <v/>
      </c>
      <c r="Q37" s="46">
        <v>0</v>
      </c>
      <c r="R37" s="46">
        <f t="shared" si="30"/>
        <v>8100</v>
      </c>
      <c r="S37" s="2">
        <f t="shared" si="31"/>
        <v>8.1000000000000003E-2</v>
      </c>
      <c r="T37" s="11">
        <f t="shared" si="32"/>
        <v>-1.9000000000000003E-2</v>
      </c>
      <c r="U37" s="12">
        <f t="shared" si="33"/>
        <v>-1900</v>
      </c>
      <c r="V37" s="48">
        <f t="shared" si="34"/>
        <v>-1.9000000000000003E-2</v>
      </c>
      <c r="W37" s="48" t="str">
        <f t="shared" ref="W37:W45" si="36">IF(T37&gt;0,T37,"")</f>
        <v/>
      </c>
      <c r="Y37" s="47">
        <f>W47</f>
        <v>6.7999999999999977E-2</v>
      </c>
      <c r="Z37" s="121" t="s">
        <v>130</v>
      </c>
    </row>
    <row r="38" spans="1:36" x14ac:dyDescent="0.35">
      <c r="A38" t="s">
        <v>103</v>
      </c>
      <c r="B38" t="s">
        <v>9</v>
      </c>
      <c r="C38" s="1" t="s">
        <v>10</v>
      </c>
      <c r="D38" s="1">
        <v>92.49</v>
      </c>
      <c r="E38" s="7">
        <v>9400</v>
      </c>
      <c r="F38" s="2">
        <f t="shared" si="35"/>
        <v>9.4E-2</v>
      </c>
      <c r="G38" s="14">
        <v>0.1</v>
      </c>
      <c r="H38" s="15">
        <f t="shared" si="23"/>
        <v>10000</v>
      </c>
      <c r="I38" s="55">
        <f t="shared" si="24"/>
        <v>-6.0000000000000053E-3</v>
      </c>
      <c r="J38" s="31">
        <f t="shared" si="25"/>
        <v>-600</v>
      </c>
      <c r="K38" s="58">
        <f t="shared" si="26"/>
        <v>-6.0000000000000053E-3</v>
      </c>
      <c r="L38" s="58" t="str">
        <f t="shared" si="27"/>
        <v/>
      </c>
      <c r="M38" s="28">
        <v>0.08</v>
      </c>
      <c r="N38" s="28">
        <v>0.12</v>
      </c>
      <c r="O38" s="32" t="str">
        <f t="shared" si="28"/>
        <v/>
      </c>
      <c r="P38" s="63" t="str">
        <f t="shared" si="29"/>
        <v/>
      </c>
      <c r="Q38" s="46">
        <v>0</v>
      </c>
      <c r="R38" s="46">
        <f t="shared" si="30"/>
        <v>9400</v>
      </c>
      <c r="S38" s="2">
        <f t="shared" si="31"/>
        <v>9.4E-2</v>
      </c>
      <c r="T38" s="11">
        <f t="shared" si="32"/>
        <v>-6.0000000000000053E-3</v>
      </c>
      <c r="U38" s="12">
        <f t="shared" si="33"/>
        <v>-600</v>
      </c>
      <c r="V38" s="47">
        <f t="shared" si="34"/>
        <v>-6.0000000000000053E-3</v>
      </c>
      <c r="W38" s="47" t="str">
        <f t="shared" si="36"/>
        <v/>
      </c>
      <c r="Y38" s="18">
        <v>0</v>
      </c>
      <c r="Z38" t="s">
        <v>138</v>
      </c>
    </row>
    <row r="39" spans="1:36" x14ac:dyDescent="0.35">
      <c r="A39" s="6"/>
      <c r="B39" t="s">
        <v>68</v>
      </c>
      <c r="C39" s="1" t="s">
        <v>8</v>
      </c>
      <c r="D39" s="1">
        <v>77.84</v>
      </c>
      <c r="E39" s="7">
        <v>9700</v>
      </c>
      <c r="F39" s="2">
        <f t="shared" si="35"/>
        <v>9.7000000000000003E-2</v>
      </c>
      <c r="G39" s="14">
        <v>0.1</v>
      </c>
      <c r="H39" s="15">
        <f t="shared" si="23"/>
        <v>10000</v>
      </c>
      <c r="I39" s="55">
        <f t="shared" si="24"/>
        <v>-3.0000000000000027E-3</v>
      </c>
      <c r="J39" s="31">
        <f t="shared" si="25"/>
        <v>-300</v>
      </c>
      <c r="K39" s="58">
        <f t="shared" si="26"/>
        <v>-3.0000000000000027E-3</v>
      </c>
      <c r="L39" s="58" t="str">
        <f t="shared" si="27"/>
        <v/>
      </c>
      <c r="M39" s="28">
        <v>0.08</v>
      </c>
      <c r="N39" s="28">
        <v>0.12</v>
      </c>
      <c r="O39" s="32" t="str">
        <f t="shared" si="28"/>
        <v/>
      </c>
      <c r="P39" s="63" t="str">
        <f t="shared" si="29"/>
        <v/>
      </c>
      <c r="Q39" s="46">
        <v>0</v>
      </c>
      <c r="R39" s="46">
        <f t="shared" si="30"/>
        <v>9700</v>
      </c>
      <c r="S39" s="2">
        <f t="shared" si="31"/>
        <v>9.7000000000000003E-2</v>
      </c>
      <c r="T39" s="11">
        <f t="shared" si="32"/>
        <v>-3.0000000000000027E-3</v>
      </c>
      <c r="U39" s="12">
        <f t="shared" si="33"/>
        <v>-300</v>
      </c>
      <c r="V39" s="47">
        <f t="shared" si="34"/>
        <v>-3.0000000000000027E-3</v>
      </c>
      <c r="W39" s="47" t="str">
        <f t="shared" si="36"/>
        <v/>
      </c>
      <c r="Y39" s="119">
        <f>T48</f>
        <v>1.6665116627769695E-2</v>
      </c>
      <c r="Z39" s="123" t="s">
        <v>90</v>
      </c>
    </row>
    <row r="40" spans="1:36" x14ac:dyDescent="0.35">
      <c r="B40" s="8" t="s">
        <v>26</v>
      </c>
      <c r="C40" s="10" t="s">
        <v>25</v>
      </c>
      <c r="D40" s="10">
        <v>112.81</v>
      </c>
      <c r="E40" s="7">
        <v>10000</v>
      </c>
      <c r="F40" s="2">
        <f t="shared" si="35"/>
        <v>0.1</v>
      </c>
      <c r="G40" s="14">
        <v>0.1</v>
      </c>
      <c r="H40" s="15">
        <f t="shared" si="23"/>
        <v>10000</v>
      </c>
      <c r="I40" s="55">
        <f t="shared" si="24"/>
        <v>0</v>
      </c>
      <c r="J40" s="31">
        <f t="shared" si="25"/>
        <v>0</v>
      </c>
      <c r="K40" s="48" t="str">
        <f t="shared" si="26"/>
        <v/>
      </c>
      <c r="L40" s="48" t="str">
        <f t="shared" si="27"/>
        <v/>
      </c>
      <c r="M40" s="28">
        <v>0.08</v>
      </c>
      <c r="N40" s="28">
        <v>0.12</v>
      </c>
      <c r="O40" s="34" t="str">
        <f t="shared" si="28"/>
        <v/>
      </c>
      <c r="P40" s="63" t="str">
        <f t="shared" si="29"/>
        <v/>
      </c>
      <c r="Q40" s="46">
        <v>0</v>
      </c>
      <c r="R40" s="46">
        <f t="shared" si="30"/>
        <v>10000</v>
      </c>
      <c r="S40" s="2">
        <f t="shared" si="31"/>
        <v>0.1</v>
      </c>
      <c r="T40" s="11">
        <f t="shared" si="32"/>
        <v>0</v>
      </c>
      <c r="U40" s="12">
        <f t="shared" si="33"/>
        <v>0</v>
      </c>
      <c r="V40" s="49" t="str">
        <f t="shared" si="34"/>
        <v/>
      </c>
      <c r="W40" s="49" t="str">
        <f t="shared" si="36"/>
        <v/>
      </c>
      <c r="Y40" s="1">
        <f>COUNTIF(Q35:Q45,"&lt;&gt;0")</f>
        <v>4</v>
      </c>
      <c r="Z40" s="140" t="s">
        <v>92</v>
      </c>
    </row>
    <row r="41" spans="1:36" x14ac:dyDescent="0.35">
      <c r="B41" t="s">
        <v>69</v>
      </c>
      <c r="C41" s="1" t="s">
        <v>12</v>
      </c>
      <c r="D41" s="1">
        <v>27.98</v>
      </c>
      <c r="E41" s="7">
        <v>8400</v>
      </c>
      <c r="F41" s="2">
        <f t="shared" si="35"/>
        <v>8.4000000000000005E-2</v>
      </c>
      <c r="G41" s="14">
        <v>0.08</v>
      </c>
      <c r="H41" s="15">
        <f t="shared" si="23"/>
        <v>8000</v>
      </c>
      <c r="I41" s="55">
        <f t="shared" si="24"/>
        <v>4.0000000000000036E-3</v>
      </c>
      <c r="J41" s="31">
        <f t="shared" si="25"/>
        <v>400</v>
      </c>
      <c r="K41" s="58" t="str">
        <f t="shared" si="26"/>
        <v/>
      </c>
      <c r="L41" s="58">
        <f t="shared" si="27"/>
        <v>4.0000000000000036E-3</v>
      </c>
      <c r="M41" s="28">
        <v>0.06</v>
      </c>
      <c r="N41" s="28">
        <v>0.1</v>
      </c>
      <c r="O41" s="32" t="str">
        <f t="shared" si="28"/>
        <v/>
      </c>
      <c r="P41" s="63" t="str">
        <f t="shared" si="29"/>
        <v/>
      </c>
      <c r="Q41" s="46">
        <v>0</v>
      </c>
      <c r="R41" s="46">
        <f t="shared" si="30"/>
        <v>8400</v>
      </c>
      <c r="S41" s="2">
        <f t="shared" si="31"/>
        <v>8.4000000000000005E-2</v>
      </c>
      <c r="T41" s="11">
        <f t="shared" si="32"/>
        <v>4.0000000000000036E-3</v>
      </c>
      <c r="U41" s="12">
        <f t="shared" si="33"/>
        <v>400</v>
      </c>
      <c r="V41" s="47" t="str">
        <f t="shared" si="34"/>
        <v/>
      </c>
      <c r="W41" s="47">
        <f t="shared" si="36"/>
        <v>4.0000000000000036E-3</v>
      </c>
      <c r="Y41" s="148">
        <f>ABS(Q35)+ABS(Q36)+ABS(Q37)+ABS(Q38)+ABS(Q39)+ABS(Q40)+ABS(Q41)+ABS(Q44)+ABS(Q45)</f>
        <v>1300</v>
      </c>
      <c r="Z41" s="78" t="s">
        <v>139</v>
      </c>
    </row>
    <row r="42" spans="1:36" x14ac:dyDescent="0.35">
      <c r="B42" t="s">
        <v>65</v>
      </c>
      <c r="C42" s="1" t="s">
        <v>65</v>
      </c>
      <c r="D42" s="42">
        <v>1</v>
      </c>
      <c r="E42" s="7">
        <v>3000</v>
      </c>
      <c r="F42" s="2">
        <f t="shared" si="35"/>
        <v>0.03</v>
      </c>
      <c r="G42" s="14">
        <v>0.02</v>
      </c>
      <c r="H42" s="15">
        <f t="shared" si="23"/>
        <v>2000</v>
      </c>
      <c r="I42" s="55">
        <f t="shared" si="24"/>
        <v>9.9999999999999985E-3</v>
      </c>
      <c r="J42" s="31">
        <f t="shared" si="25"/>
        <v>1000</v>
      </c>
      <c r="K42" s="58" t="str">
        <f t="shared" si="26"/>
        <v/>
      </c>
      <c r="L42" s="58">
        <f t="shared" si="27"/>
        <v>9.9999999999999985E-3</v>
      </c>
      <c r="M42" s="28">
        <v>6.0000000000000001E-3</v>
      </c>
      <c r="N42" s="28">
        <v>0.04</v>
      </c>
      <c r="O42" s="32" t="str">
        <f t="shared" si="28"/>
        <v/>
      </c>
      <c r="P42" s="63" t="str">
        <f t="shared" si="29"/>
        <v/>
      </c>
      <c r="Q42" s="45">
        <v>-300</v>
      </c>
      <c r="R42" s="46">
        <f t="shared" si="30"/>
        <v>2700</v>
      </c>
      <c r="S42" s="2">
        <f t="shared" si="31"/>
        <v>2.7E-2</v>
      </c>
      <c r="T42" s="11">
        <f t="shared" si="32"/>
        <v>6.9999999999999993E-3</v>
      </c>
      <c r="U42" s="12">
        <f t="shared" si="33"/>
        <v>700</v>
      </c>
      <c r="V42" s="47" t="str">
        <f t="shared" si="34"/>
        <v/>
      </c>
      <c r="W42" s="47">
        <f t="shared" si="36"/>
        <v>6.9999999999999993E-3</v>
      </c>
      <c r="Y42" s="18">
        <f>S35+S36+S37+S40+S43+S44+S45</f>
        <v>0.69799999999999995</v>
      </c>
      <c r="Z42" t="s">
        <v>123</v>
      </c>
    </row>
    <row r="43" spans="1:36" x14ac:dyDescent="0.35">
      <c r="B43" t="s">
        <v>17</v>
      </c>
      <c r="C43" s="1" t="s">
        <v>5</v>
      </c>
      <c r="D43" s="1">
        <v>94.9</v>
      </c>
      <c r="E43" s="7">
        <v>11800</v>
      </c>
      <c r="F43" s="2">
        <f t="shared" si="35"/>
        <v>0.11799999999999999</v>
      </c>
      <c r="G43" s="14">
        <v>0.1</v>
      </c>
      <c r="H43" s="15">
        <f t="shared" si="23"/>
        <v>10000</v>
      </c>
      <c r="I43" s="55">
        <f t="shared" si="24"/>
        <v>1.7999999999999988E-2</v>
      </c>
      <c r="J43" s="31">
        <f t="shared" si="25"/>
        <v>1800</v>
      </c>
      <c r="K43" s="58" t="str">
        <f t="shared" si="26"/>
        <v/>
      </c>
      <c r="L43" s="58">
        <f t="shared" si="27"/>
        <v>1.7999999999999988E-2</v>
      </c>
      <c r="M43" s="28">
        <v>0.08</v>
      </c>
      <c r="N43" s="28">
        <v>0.12</v>
      </c>
      <c r="O43" s="32" t="str">
        <f t="shared" si="28"/>
        <v/>
      </c>
      <c r="P43" s="63" t="str">
        <f t="shared" si="29"/>
        <v/>
      </c>
      <c r="Q43" s="46">
        <v>0</v>
      </c>
      <c r="R43" s="46">
        <f t="shared" si="30"/>
        <v>11800</v>
      </c>
      <c r="S43" s="2">
        <f t="shared" si="31"/>
        <v>0.11799999999999999</v>
      </c>
      <c r="T43" s="11">
        <f t="shared" si="32"/>
        <v>1.7999999999999988E-2</v>
      </c>
      <c r="U43" s="12">
        <f t="shared" si="33"/>
        <v>1800</v>
      </c>
      <c r="V43" s="47" t="str">
        <f t="shared" si="34"/>
        <v/>
      </c>
      <c r="W43" s="47">
        <f t="shared" si="36"/>
        <v>1.7999999999999988E-2</v>
      </c>
      <c r="Y43" s="142">
        <f>S38+S39+S41+S42</f>
        <v>0.30200000000000005</v>
      </c>
      <c r="Z43" t="s">
        <v>124</v>
      </c>
    </row>
    <row r="44" spans="1:36" x14ac:dyDescent="0.35">
      <c r="B44" t="s">
        <v>15</v>
      </c>
      <c r="C44" s="1" t="s">
        <v>6</v>
      </c>
      <c r="D44" s="1">
        <v>197.79</v>
      </c>
      <c r="E44" s="7">
        <v>11900</v>
      </c>
      <c r="F44" s="2">
        <f t="shared" si="35"/>
        <v>0.11899999999999999</v>
      </c>
      <c r="G44" s="14">
        <v>0.1</v>
      </c>
      <c r="H44" s="15">
        <f t="shared" si="23"/>
        <v>10000</v>
      </c>
      <c r="I44" s="55">
        <f t="shared" si="24"/>
        <v>1.8999999999999989E-2</v>
      </c>
      <c r="J44" s="31">
        <f t="shared" si="25"/>
        <v>1900</v>
      </c>
      <c r="K44" s="58" t="str">
        <f t="shared" si="26"/>
        <v/>
      </c>
      <c r="L44" s="58">
        <f t="shared" si="27"/>
        <v>1.8999999999999989E-2</v>
      </c>
      <c r="M44" s="14">
        <v>0.08</v>
      </c>
      <c r="N44" s="14">
        <v>0.12</v>
      </c>
      <c r="O44" s="18" t="str">
        <f t="shared" si="28"/>
        <v/>
      </c>
      <c r="P44" s="59" t="str">
        <f t="shared" si="29"/>
        <v/>
      </c>
      <c r="Q44" s="46">
        <v>0</v>
      </c>
      <c r="R44" s="7">
        <f t="shared" si="30"/>
        <v>11900</v>
      </c>
      <c r="S44" s="2">
        <f t="shared" si="31"/>
        <v>0.11899999999999999</v>
      </c>
      <c r="T44" s="11">
        <f t="shared" si="32"/>
        <v>1.8999999999999989E-2</v>
      </c>
      <c r="U44" s="12">
        <f t="shared" si="33"/>
        <v>1900</v>
      </c>
      <c r="V44" s="47" t="str">
        <f t="shared" si="34"/>
        <v/>
      </c>
      <c r="W44" s="47">
        <f t="shared" si="36"/>
        <v>1.8999999999999989E-2</v>
      </c>
      <c r="Y44" s="1"/>
    </row>
    <row r="45" spans="1:36" x14ac:dyDescent="0.35">
      <c r="B45" s="8" t="s">
        <v>21</v>
      </c>
      <c r="C45" s="10" t="s">
        <v>20</v>
      </c>
      <c r="D45" s="10">
        <v>81.81</v>
      </c>
      <c r="E45" s="7">
        <v>12500</v>
      </c>
      <c r="F45" s="167">
        <f t="shared" si="35"/>
        <v>0.125</v>
      </c>
      <c r="G45" s="28">
        <v>0.1</v>
      </c>
      <c r="H45" s="15">
        <f t="shared" si="23"/>
        <v>10000</v>
      </c>
      <c r="I45" s="56">
        <f t="shared" si="24"/>
        <v>2.4999999999999994E-2</v>
      </c>
      <c r="J45" s="43">
        <f t="shared" si="25"/>
        <v>2500</v>
      </c>
      <c r="K45" s="48" t="str">
        <f t="shared" si="26"/>
        <v/>
      </c>
      <c r="L45" s="51">
        <f t="shared" si="27"/>
        <v>2.4999999999999994E-2</v>
      </c>
      <c r="M45" s="28">
        <v>0.08</v>
      </c>
      <c r="N45" s="28">
        <v>0.12</v>
      </c>
      <c r="O45" s="34" t="str">
        <f t="shared" si="28"/>
        <v/>
      </c>
      <c r="P45" s="76">
        <f t="shared" si="29"/>
        <v>5.0000000000000044E-3</v>
      </c>
      <c r="Q45" s="45">
        <v>-500</v>
      </c>
      <c r="R45" s="7">
        <f t="shared" si="30"/>
        <v>12000</v>
      </c>
      <c r="S45" s="2">
        <f t="shared" si="31"/>
        <v>0.12</v>
      </c>
      <c r="T45" s="11">
        <f t="shared" si="32"/>
        <v>1.999999999999999E-2</v>
      </c>
      <c r="U45" s="12">
        <f t="shared" si="33"/>
        <v>2000</v>
      </c>
      <c r="V45" s="48" t="str">
        <f t="shared" si="34"/>
        <v/>
      </c>
      <c r="W45" s="48">
        <f t="shared" si="36"/>
        <v>1.999999999999999E-2</v>
      </c>
      <c r="Y45" s="1"/>
    </row>
    <row r="46" spans="1:36" ht="5.25" customHeight="1" x14ac:dyDescent="0.35">
      <c r="E46" s="7"/>
      <c r="F46" s="2"/>
      <c r="G46" s="16"/>
      <c r="H46" s="16"/>
      <c r="I46" s="55"/>
      <c r="J46" s="13"/>
      <c r="K46" s="47"/>
      <c r="L46" s="47"/>
      <c r="M46" s="16"/>
      <c r="N46" s="16"/>
      <c r="O46" s="1"/>
      <c r="P46" s="60"/>
      <c r="Q46" s="7"/>
      <c r="R46" s="7"/>
      <c r="S46" s="2"/>
      <c r="T46" s="11"/>
      <c r="U46" s="13"/>
      <c r="V46" s="47"/>
      <c r="W46" s="47"/>
      <c r="Y46" s="1"/>
    </row>
    <row r="47" spans="1:36" x14ac:dyDescent="0.35">
      <c r="E47" s="9">
        <f>SUM(E35:E45)</f>
        <v>100000</v>
      </c>
      <c r="F47" s="2">
        <f>E47/$E47</f>
        <v>1</v>
      </c>
      <c r="G47" s="14">
        <f>SUM(G35:G45)</f>
        <v>0.99999999999999989</v>
      </c>
      <c r="H47" s="15">
        <f>SUM(H35:H45)</f>
        <v>100000</v>
      </c>
      <c r="I47" s="55">
        <f>F47-G47</f>
        <v>0</v>
      </c>
      <c r="J47" s="12">
        <f>SUM(J35:J45)</f>
        <v>0</v>
      </c>
      <c r="K47" s="136">
        <f>SUM(K35:K45)</f>
        <v>-7.6000000000000026E-2</v>
      </c>
      <c r="L47" s="137">
        <f>SUM(L35:L45)</f>
        <v>7.599999999999997E-2</v>
      </c>
      <c r="M47" s="14"/>
      <c r="N47" s="14"/>
      <c r="O47" s="2">
        <f>SUM(O35:O45)</f>
        <v>-8.0000000000000071E-3</v>
      </c>
      <c r="P47" s="61">
        <f>SUM(P35:P45)</f>
        <v>5.0000000000000044E-3</v>
      </c>
      <c r="Q47" s="3">
        <f>SUM(Q35:Q45)</f>
        <v>0</v>
      </c>
      <c r="R47" s="9">
        <f>SUM(R35:R45)</f>
        <v>100000</v>
      </c>
      <c r="S47" s="2">
        <f t="shared" ref="S47" si="37">R47/$R$31</f>
        <v>1</v>
      </c>
      <c r="T47" s="11">
        <f>-SUM(T35:T45)</f>
        <v>4.8572257327350599E-17</v>
      </c>
      <c r="U47" s="12">
        <f>SUM(U35:U45)</f>
        <v>0</v>
      </c>
      <c r="V47" s="136">
        <f>SUM(V35:V45)</f>
        <v>-6.8000000000000019E-2</v>
      </c>
      <c r="W47" s="137">
        <f>SUM(W35:W45)</f>
        <v>6.7999999999999977E-2</v>
      </c>
      <c r="Y47" s="1"/>
    </row>
    <row r="48" spans="1:36" x14ac:dyDescent="0.35">
      <c r="H48" s="133" t="s">
        <v>3</v>
      </c>
      <c r="I48" s="135">
        <f t="array" ref="I48">SQRT(MMULT(MMULT(TRANSPOSE(I35:I45),'Risk Stats for Calcs (orig ord)'!$O$3:$Y$13),I35:I45))</f>
        <v>1.8366675698196468E-2</v>
      </c>
      <c r="K48" s="131" t="s">
        <v>42</v>
      </c>
      <c r="L48" s="132" t="s">
        <v>42</v>
      </c>
      <c r="O48" s="138">
        <f>P47-O47</f>
        <v>1.3000000000000012E-2</v>
      </c>
      <c r="P48" s="139" t="s">
        <v>109</v>
      </c>
      <c r="S48" s="133" t="s">
        <v>3</v>
      </c>
      <c r="T48" s="135">
        <f t="array" ref="T48">SQRT(MMULT(MMULT(TRANSPOSE(T35:T45),'Risk Stats for Calcs (orig ord)'!$O$3:$Y$13),T35:T45))</f>
        <v>1.6665116627769695E-2</v>
      </c>
      <c r="U48" s="1"/>
      <c r="V48" s="131" t="s">
        <v>42</v>
      </c>
      <c r="W48" s="132" t="s">
        <v>42</v>
      </c>
      <c r="Y48" s="1"/>
    </row>
    <row r="49" spans="1:35" x14ac:dyDescent="0.35">
      <c r="A49" s="36"/>
      <c r="B49" s="36"/>
      <c r="C49" s="36"/>
      <c r="D49" s="36"/>
      <c r="E49" s="38"/>
      <c r="F49" s="37"/>
      <c r="G49" s="36"/>
      <c r="H49" s="36"/>
      <c r="I49" s="57"/>
      <c r="J49" s="37"/>
      <c r="K49" s="57"/>
      <c r="L49" s="57"/>
      <c r="M49" s="36"/>
      <c r="N49" s="36"/>
      <c r="O49" s="36"/>
      <c r="P49" s="62"/>
      <c r="Q49" s="36"/>
      <c r="R49" s="36"/>
      <c r="S49" s="36"/>
      <c r="T49" s="36"/>
      <c r="U49" s="36"/>
      <c r="V49" s="54"/>
      <c r="W49" s="54"/>
      <c r="X49" s="36"/>
      <c r="Y49" s="37"/>
      <c r="Z49" s="36"/>
      <c r="AA49" s="36"/>
      <c r="AB49" s="36"/>
      <c r="AC49" s="36"/>
      <c r="AD49" s="36"/>
      <c r="AE49" s="36"/>
      <c r="AF49" s="36"/>
      <c r="AG49" s="36"/>
      <c r="AH49" s="36"/>
    </row>
    <row r="50" spans="1:35" ht="44" customHeight="1" thickBot="1" x14ac:dyDescent="0.4">
      <c r="B50" s="106" t="s">
        <v>142</v>
      </c>
      <c r="C50" s="92" t="s">
        <v>23</v>
      </c>
      <c r="D50" s="92" t="s">
        <v>24</v>
      </c>
      <c r="E50" s="102" t="s">
        <v>118</v>
      </c>
      <c r="F50" s="92" t="s">
        <v>30</v>
      </c>
      <c r="G50" s="103" t="s">
        <v>27</v>
      </c>
      <c r="H50" s="103" t="s">
        <v>28</v>
      </c>
      <c r="I50" s="104" t="s">
        <v>31</v>
      </c>
      <c r="J50" s="104" t="s">
        <v>32</v>
      </c>
      <c r="K50" s="92" t="s">
        <v>41</v>
      </c>
      <c r="L50" s="92" t="s">
        <v>40</v>
      </c>
      <c r="M50" s="103" t="s">
        <v>43</v>
      </c>
      <c r="N50" s="103" t="s">
        <v>44</v>
      </c>
      <c r="O50" s="92" t="s">
        <v>45</v>
      </c>
      <c r="P50" s="108" t="s">
        <v>46</v>
      </c>
      <c r="Q50" s="102" t="s">
        <v>117</v>
      </c>
      <c r="R50" s="102" t="s">
        <v>116</v>
      </c>
      <c r="S50" s="92" t="s">
        <v>64</v>
      </c>
      <c r="T50" s="104" t="s">
        <v>66</v>
      </c>
      <c r="U50" s="104" t="s">
        <v>67</v>
      </c>
      <c r="V50" s="92" t="s">
        <v>41</v>
      </c>
      <c r="W50" s="92" t="s">
        <v>40</v>
      </c>
      <c r="Y50" s="92" t="s">
        <v>93</v>
      </c>
      <c r="Z50" s="75" t="s">
        <v>94</v>
      </c>
      <c r="AI50" s="77" t="s">
        <v>102</v>
      </c>
    </row>
    <row r="51" spans="1:35" x14ac:dyDescent="0.35">
      <c r="A51" s="39" t="s">
        <v>33</v>
      </c>
      <c r="B51" t="s">
        <v>14</v>
      </c>
      <c r="C51" s="1" t="s">
        <v>13</v>
      </c>
      <c r="D51" s="1">
        <v>143.66</v>
      </c>
      <c r="E51" s="7">
        <v>7400</v>
      </c>
      <c r="F51" s="167">
        <f>E51/$E$15</f>
        <v>7.3999999999999996E-2</v>
      </c>
      <c r="G51" s="14">
        <v>0.1</v>
      </c>
      <c r="H51" s="15">
        <f t="shared" ref="H51:H61" si="38">$E$63*G51</f>
        <v>10000</v>
      </c>
      <c r="I51" s="55">
        <f t="shared" ref="I51:I61" si="39">F51-G51</f>
        <v>-2.6000000000000009E-2</v>
      </c>
      <c r="J51" s="31">
        <f t="shared" ref="J51:J61" si="40">E51-H51</f>
        <v>-2600</v>
      </c>
      <c r="K51" s="58">
        <f t="shared" ref="K51:K61" si="41">IF(I51&lt;0,I51,"")</f>
        <v>-2.6000000000000009E-2</v>
      </c>
      <c r="L51" s="58" t="str">
        <f t="shared" ref="L51:L61" si="42">IF(I51&gt;0,I51,"")</f>
        <v/>
      </c>
      <c r="M51" s="28">
        <v>0.08</v>
      </c>
      <c r="N51" s="28">
        <v>0.12</v>
      </c>
      <c r="O51" s="32">
        <f t="shared" ref="O51:O61" si="43">IF(F51&lt;M51,F51-M51,"")</f>
        <v>-6.0000000000000053E-3</v>
      </c>
      <c r="P51" s="63" t="str">
        <f t="shared" ref="P51:P61" si="44">IF(F51&gt;N51,F51-N51,"")</f>
        <v/>
      </c>
      <c r="Q51" s="45">
        <v>1200</v>
      </c>
      <c r="R51" s="7">
        <f t="shared" ref="R51:R61" si="45">E51+Q51</f>
        <v>8600</v>
      </c>
      <c r="S51" s="2">
        <f t="shared" ref="S51:S61" si="46">R51/$R$63</f>
        <v>8.5999999999999993E-2</v>
      </c>
      <c r="T51" s="11">
        <f t="shared" ref="T51:T61" si="47">S51-G51</f>
        <v>-1.4000000000000012E-2</v>
      </c>
      <c r="U51" s="12">
        <f t="shared" ref="U51:U61" si="48">R51-$R$63*G51</f>
        <v>-1400</v>
      </c>
      <c r="V51" s="50">
        <f t="shared" ref="V51:V61" si="49">IF(T51&lt;0,T51,"")</f>
        <v>-1.4000000000000012E-2</v>
      </c>
      <c r="W51" s="47" t="str">
        <f>IF(T51&gt;0,T51,"")</f>
        <v/>
      </c>
      <c r="Y51" s="47">
        <f>MAX(W51:W61)</f>
        <v>1.3999999999999999E-2</v>
      </c>
      <c r="Z51" s="121" t="s">
        <v>128</v>
      </c>
      <c r="AI51" s="74">
        <f>0.7*H$79*(M51-G51)</f>
        <v>-1400.0000000000002</v>
      </c>
    </row>
    <row r="52" spans="1:35" x14ac:dyDescent="0.35">
      <c r="A52" t="s">
        <v>96</v>
      </c>
      <c r="B52" t="s">
        <v>16</v>
      </c>
      <c r="C52" s="1" t="s">
        <v>4</v>
      </c>
      <c r="D52" s="1">
        <v>255.29</v>
      </c>
      <c r="E52" s="7">
        <v>7800</v>
      </c>
      <c r="F52" s="167">
        <f t="shared" ref="F52:F61" si="50">E52/$E$15</f>
        <v>7.8E-2</v>
      </c>
      <c r="G52" s="14">
        <v>0.1</v>
      </c>
      <c r="H52" s="15">
        <f t="shared" si="38"/>
        <v>10000</v>
      </c>
      <c r="I52" s="55">
        <f t="shared" si="39"/>
        <v>-2.2000000000000006E-2</v>
      </c>
      <c r="J52" s="31">
        <f t="shared" si="40"/>
        <v>-2200</v>
      </c>
      <c r="K52" s="58">
        <f t="shared" si="41"/>
        <v>-2.2000000000000006E-2</v>
      </c>
      <c r="L52" s="58" t="str">
        <f t="shared" si="42"/>
        <v/>
      </c>
      <c r="M52" s="28">
        <v>0.08</v>
      </c>
      <c r="N52" s="28">
        <v>0.12</v>
      </c>
      <c r="O52" s="32">
        <f t="shared" si="43"/>
        <v>-2.0000000000000018E-3</v>
      </c>
      <c r="P52" s="63" t="str">
        <f t="shared" si="44"/>
        <v/>
      </c>
      <c r="Q52" s="45">
        <v>800</v>
      </c>
      <c r="R52" s="7">
        <f t="shared" si="45"/>
        <v>8600</v>
      </c>
      <c r="S52" s="2">
        <f t="shared" si="46"/>
        <v>8.5999999999999993E-2</v>
      </c>
      <c r="T52" s="11">
        <f t="shared" si="47"/>
        <v>-1.4000000000000012E-2</v>
      </c>
      <c r="U52" s="12">
        <f t="shared" si="48"/>
        <v>-1400</v>
      </c>
      <c r="V52" s="50">
        <f t="shared" si="49"/>
        <v>-1.4000000000000012E-2</v>
      </c>
      <c r="W52" s="47"/>
      <c r="Y52" s="119">
        <f>MIN(V51:V61)</f>
        <v>-1.4000000000000012E-2</v>
      </c>
      <c r="Z52" s="123" t="s">
        <v>129</v>
      </c>
      <c r="AI52" s="4">
        <f>0.7*H$79*(N52-G52)</f>
        <v>1399.9999999999993</v>
      </c>
    </row>
    <row r="53" spans="1:35" x14ac:dyDescent="0.35">
      <c r="A53" s="40" t="s">
        <v>100</v>
      </c>
      <c r="B53" s="8" t="s">
        <v>18</v>
      </c>
      <c r="C53" s="10" t="s">
        <v>19</v>
      </c>
      <c r="D53" s="10">
        <v>140.66999999999999</v>
      </c>
      <c r="E53" s="7">
        <v>8100</v>
      </c>
      <c r="F53" s="2">
        <f t="shared" si="50"/>
        <v>8.1000000000000003E-2</v>
      </c>
      <c r="G53" s="28">
        <v>0.1</v>
      </c>
      <c r="H53" s="15">
        <f t="shared" si="38"/>
        <v>10000</v>
      </c>
      <c r="I53" s="56">
        <f t="shared" si="39"/>
        <v>-1.9000000000000003E-2</v>
      </c>
      <c r="J53" s="31">
        <f t="shared" si="40"/>
        <v>-1900</v>
      </c>
      <c r="K53" s="48">
        <f t="shared" si="41"/>
        <v>-1.9000000000000003E-2</v>
      </c>
      <c r="L53" s="48" t="str">
        <f t="shared" si="42"/>
        <v/>
      </c>
      <c r="M53" s="28">
        <v>0.08</v>
      </c>
      <c r="N53" s="28">
        <v>0.12</v>
      </c>
      <c r="O53" s="34" t="str">
        <f t="shared" si="43"/>
        <v/>
      </c>
      <c r="P53" s="63" t="str">
        <f t="shared" si="44"/>
        <v/>
      </c>
      <c r="Q53" s="45">
        <v>500</v>
      </c>
      <c r="R53" s="46">
        <f t="shared" si="45"/>
        <v>8600</v>
      </c>
      <c r="S53" s="2">
        <f t="shared" si="46"/>
        <v>8.5999999999999993E-2</v>
      </c>
      <c r="T53" s="11">
        <f t="shared" si="47"/>
        <v>-1.4000000000000012E-2</v>
      </c>
      <c r="U53" s="12">
        <f t="shared" si="48"/>
        <v>-1400</v>
      </c>
      <c r="V53" s="51">
        <f t="shared" si="49"/>
        <v>-1.4000000000000012E-2</v>
      </c>
      <c r="W53" s="48" t="str">
        <f t="shared" ref="W53:W61" si="51">IF(T53&gt;0,T53,"")</f>
        <v/>
      </c>
      <c r="Y53" s="47">
        <f>W63</f>
        <v>5.1000000000000004E-2</v>
      </c>
      <c r="Z53" s="121" t="s">
        <v>130</v>
      </c>
      <c r="AI53" s="74">
        <f>0.7*H$79*(M53-G53)</f>
        <v>-1400.0000000000002</v>
      </c>
    </row>
    <row r="54" spans="1:35" x14ac:dyDescent="0.35">
      <c r="A54" t="s">
        <v>103</v>
      </c>
      <c r="B54" t="s">
        <v>9</v>
      </c>
      <c r="C54" s="1" t="s">
        <v>10</v>
      </c>
      <c r="D54" s="1">
        <v>92.49</v>
      </c>
      <c r="E54" s="7">
        <v>9400</v>
      </c>
      <c r="F54" s="2">
        <f t="shared" si="50"/>
        <v>9.4E-2</v>
      </c>
      <c r="G54" s="14">
        <v>0.1</v>
      </c>
      <c r="H54" s="15">
        <f t="shared" si="38"/>
        <v>10000</v>
      </c>
      <c r="I54" s="55">
        <f t="shared" si="39"/>
        <v>-6.0000000000000053E-3</v>
      </c>
      <c r="J54" s="31">
        <f t="shared" si="40"/>
        <v>-600</v>
      </c>
      <c r="K54" s="58">
        <f t="shared" si="41"/>
        <v>-6.0000000000000053E-3</v>
      </c>
      <c r="L54" s="58" t="str">
        <f t="shared" si="42"/>
        <v/>
      </c>
      <c r="M54" s="28">
        <v>0.08</v>
      </c>
      <c r="N54" s="28">
        <v>0.12</v>
      </c>
      <c r="O54" s="32" t="str">
        <f t="shared" si="43"/>
        <v/>
      </c>
      <c r="P54" s="63" t="str">
        <f t="shared" si="44"/>
        <v/>
      </c>
      <c r="Q54" s="46">
        <v>0</v>
      </c>
      <c r="R54" s="46">
        <f t="shared" si="45"/>
        <v>9400</v>
      </c>
      <c r="S54" s="2">
        <f t="shared" si="46"/>
        <v>9.4E-2</v>
      </c>
      <c r="T54" s="11">
        <f t="shared" si="47"/>
        <v>-6.0000000000000053E-3</v>
      </c>
      <c r="U54" s="12">
        <f t="shared" si="48"/>
        <v>-600</v>
      </c>
      <c r="V54" s="47">
        <f t="shared" si="49"/>
        <v>-6.0000000000000053E-3</v>
      </c>
      <c r="W54" s="47" t="str">
        <f t="shared" si="51"/>
        <v/>
      </c>
      <c r="Y54" s="18">
        <v>0</v>
      </c>
      <c r="Z54" t="s">
        <v>138</v>
      </c>
      <c r="AI54" s="4">
        <f>0.7*H$79*(N54-G54)</f>
        <v>1399.9999999999993</v>
      </c>
    </row>
    <row r="55" spans="1:35" x14ac:dyDescent="0.35">
      <c r="A55" s="6"/>
      <c r="B55" t="s">
        <v>68</v>
      </c>
      <c r="C55" s="1" t="s">
        <v>8</v>
      </c>
      <c r="D55" s="1">
        <v>77.84</v>
      </c>
      <c r="E55" s="7">
        <v>9700</v>
      </c>
      <c r="F55" s="2">
        <f t="shared" si="50"/>
        <v>9.7000000000000003E-2</v>
      </c>
      <c r="G55" s="14">
        <v>0.1</v>
      </c>
      <c r="H55" s="15">
        <f t="shared" si="38"/>
        <v>10000</v>
      </c>
      <c r="I55" s="55">
        <f t="shared" si="39"/>
        <v>-3.0000000000000027E-3</v>
      </c>
      <c r="J55" s="31">
        <f t="shared" si="40"/>
        <v>-300</v>
      </c>
      <c r="K55" s="58">
        <f t="shared" si="41"/>
        <v>-3.0000000000000027E-3</v>
      </c>
      <c r="L55" s="58" t="str">
        <f t="shared" si="42"/>
        <v/>
      </c>
      <c r="M55" s="28">
        <v>0.08</v>
      </c>
      <c r="N55" s="28">
        <v>0.12</v>
      </c>
      <c r="O55" s="32" t="str">
        <f t="shared" si="43"/>
        <v/>
      </c>
      <c r="P55" s="63" t="str">
        <f t="shared" si="44"/>
        <v/>
      </c>
      <c r="Q55" s="46">
        <v>0</v>
      </c>
      <c r="R55" s="46">
        <f t="shared" si="45"/>
        <v>9700</v>
      </c>
      <c r="S55" s="2">
        <f t="shared" si="46"/>
        <v>9.7000000000000003E-2</v>
      </c>
      <c r="T55" s="11">
        <f t="shared" si="47"/>
        <v>-3.0000000000000027E-3</v>
      </c>
      <c r="U55" s="12">
        <f t="shared" si="48"/>
        <v>-300</v>
      </c>
      <c r="V55" s="47">
        <f t="shared" si="49"/>
        <v>-3.0000000000000027E-3</v>
      </c>
      <c r="W55" s="47" t="str">
        <f t="shared" si="51"/>
        <v/>
      </c>
      <c r="Y55" s="119">
        <f>T64</f>
        <v>1.3038848040902069E-2</v>
      </c>
      <c r="Z55" s="123" t="s">
        <v>90</v>
      </c>
      <c r="AI55" s="74">
        <f>0.7*H$79*(M55-G55)</f>
        <v>-1400.0000000000002</v>
      </c>
    </row>
    <row r="56" spans="1:35" x14ac:dyDescent="0.35">
      <c r="B56" s="8" t="s">
        <v>26</v>
      </c>
      <c r="C56" s="10" t="s">
        <v>25</v>
      </c>
      <c r="D56" s="10">
        <v>112.81</v>
      </c>
      <c r="E56" s="7">
        <v>10000</v>
      </c>
      <c r="F56" s="2">
        <f t="shared" si="50"/>
        <v>0.1</v>
      </c>
      <c r="G56" s="14">
        <v>0.1</v>
      </c>
      <c r="H56" s="15">
        <f t="shared" si="38"/>
        <v>10000</v>
      </c>
      <c r="I56" s="55">
        <f t="shared" si="39"/>
        <v>0</v>
      </c>
      <c r="J56" s="31">
        <f t="shared" si="40"/>
        <v>0</v>
      </c>
      <c r="K56" s="48" t="str">
        <f t="shared" si="41"/>
        <v/>
      </c>
      <c r="L56" s="48" t="str">
        <f t="shared" si="42"/>
        <v/>
      </c>
      <c r="M56" s="28">
        <v>0.08</v>
      </c>
      <c r="N56" s="28">
        <v>0.12</v>
      </c>
      <c r="O56" s="34" t="str">
        <f t="shared" si="43"/>
        <v/>
      </c>
      <c r="P56" s="63" t="str">
        <f t="shared" si="44"/>
        <v/>
      </c>
      <c r="Q56" s="46">
        <v>0</v>
      </c>
      <c r="R56" s="46">
        <f t="shared" si="45"/>
        <v>10000</v>
      </c>
      <c r="S56" s="2">
        <f t="shared" si="46"/>
        <v>0.1</v>
      </c>
      <c r="T56" s="11">
        <f t="shared" si="47"/>
        <v>0</v>
      </c>
      <c r="U56" s="12">
        <f t="shared" si="48"/>
        <v>0</v>
      </c>
      <c r="V56" s="49" t="str">
        <f t="shared" si="49"/>
        <v/>
      </c>
      <c r="W56" s="49" t="str">
        <f t="shared" si="51"/>
        <v/>
      </c>
      <c r="Y56" s="1">
        <f>COUNTIF(Q51:Q61,"&lt;&gt;0")</f>
        <v>7</v>
      </c>
      <c r="Z56" s="140" t="s">
        <v>92</v>
      </c>
      <c r="AI56" s="4">
        <f>0.7*H$79*(N56-G56)</f>
        <v>1399.9999999999993</v>
      </c>
    </row>
    <row r="57" spans="1:35" x14ac:dyDescent="0.35">
      <c r="B57" t="s">
        <v>69</v>
      </c>
      <c r="C57" s="1" t="s">
        <v>12</v>
      </c>
      <c r="D57" s="1">
        <v>27.98</v>
      </c>
      <c r="E57" s="7">
        <v>8400</v>
      </c>
      <c r="F57" s="2">
        <f t="shared" si="50"/>
        <v>8.4000000000000005E-2</v>
      </c>
      <c r="G57" s="14">
        <v>0.08</v>
      </c>
      <c r="H57" s="15">
        <f t="shared" si="38"/>
        <v>8000</v>
      </c>
      <c r="I57" s="55">
        <f t="shared" si="39"/>
        <v>4.0000000000000036E-3</v>
      </c>
      <c r="J57" s="31">
        <f t="shared" si="40"/>
        <v>400</v>
      </c>
      <c r="K57" s="58" t="str">
        <f t="shared" si="41"/>
        <v/>
      </c>
      <c r="L57" s="58">
        <f t="shared" si="42"/>
        <v>4.0000000000000036E-3</v>
      </c>
      <c r="M57" s="28">
        <v>0.06</v>
      </c>
      <c r="N57" s="28">
        <v>0.1</v>
      </c>
      <c r="O57" s="32" t="str">
        <f t="shared" si="43"/>
        <v/>
      </c>
      <c r="P57" s="63" t="str">
        <f t="shared" si="44"/>
        <v/>
      </c>
      <c r="Q57" s="46">
        <v>0</v>
      </c>
      <c r="R57" s="46">
        <f t="shared" si="45"/>
        <v>8400</v>
      </c>
      <c r="S57" s="2">
        <f t="shared" si="46"/>
        <v>8.4000000000000005E-2</v>
      </c>
      <c r="T57" s="11">
        <f t="shared" si="47"/>
        <v>4.0000000000000036E-3</v>
      </c>
      <c r="U57" s="12">
        <f t="shared" si="48"/>
        <v>400</v>
      </c>
      <c r="V57" s="47" t="str">
        <f t="shared" si="49"/>
        <v/>
      </c>
      <c r="W57" s="47">
        <f t="shared" si="51"/>
        <v>4.0000000000000036E-3</v>
      </c>
      <c r="Y57" s="148">
        <f>ABS(Q51)+ABS(Q52)+ABS(Q53)+ABS(Q54)+ABS(Q55)+ABS(Q56)+ABS(Q57)+ABS(Q60)+ABS(Q61)</f>
        <v>4100</v>
      </c>
      <c r="Z57" s="78" t="s">
        <v>139</v>
      </c>
      <c r="AI57" s="74">
        <f>0.7*H$79*(M57-G57)</f>
        <v>-1400.0000000000002</v>
      </c>
    </row>
    <row r="58" spans="1:35" x14ac:dyDescent="0.35">
      <c r="B58" t="s">
        <v>65</v>
      </c>
      <c r="C58" s="1" t="s">
        <v>65</v>
      </c>
      <c r="D58" s="42">
        <v>1</v>
      </c>
      <c r="E58" s="7">
        <v>3000</v>
      </c>
      <c r="F58" s="2">
        <f t="shared" si="50"/>
        <v>0.03</v>
      </c>
      <c r="G58" s="14">
        <v>0.02</v>
      </c>
      <c r="H58" s="15">
        <f t="shared" si="38"/>
        <v>2000</v>
      </c>
      <c r="I58" s="55">
        <f t="shared" si="39"/>
        <v>9.9999999999999985E-3</v>
      </c>
      <c r="J58" s="31">
        <f t="shared" si="40"/>
        <v>1000</v>
      </c>
      <c r="K58" s="58" t="str">
        <f t="shared" si="41"/>
        <v/>
      </c>
      <c r="L58" s="58">
        <f t="shared" si="42"/>
        <v>9.9999999999999985E-3</v>
      </c>
      <c r="M58" s="28">
        <v>6.0000000000000001E-3</v>
      </c>
      <c r="N58" s="28">
        <v>0.04</v>
      </c>
      <c r="O58" s="32" t="str">
        <f t="shared" si="43"/>
        <v/>
      </c>
      <c r="P58" s="63" t="str">
        <f t="shared" si="44"/>
        <v/>
      </c>
      <c r="Q58" s="45">
        <v>-500</v>
      </c>
      <c r="R58" s="46">
        <f t="shared" si="45"/>
        <v>2500</v>
      </c>
      <c r="S58" s="2">
        <f t="shared" si="46"/>
        <v>2.5000000000000001E-2</v>
      </c>
      <c r="T58" s="11">
        <f t="shared" si="47"/>
        <v>5.000000000000001E-3</v>
      </c>
      <c r="U58" s="12">
        <f t="shared" si="48"/>
        <v>500</v>
      </c>
      <c r="V58" s="47" t="str">
        <f t="shared" si="49"/>
        <v/>
      </c>
      <c r="W58" s="47">
        <f t="shared" si="51"/>
        <v>5.000000000000001E-3</v>
      </c>
      <c r="Y58" s="18">
        <f>S51+S52+S53+S56+S59+S60+S61</f>
        <v>0.7</v>
      </c>
      <c r="Z58" t="s">
        <v>123</v>
      </c>
      <c r="AI58" s="74">
        <f>0.7*H$79*(M58-G58)</f>
        <v>-980</v>
      </c>
    </row>
    <row r="59" spans="1:35" x14ac:dyDescent="0.35">
      <c r="B59" t="s">
        <v>17</v>
      </c>
      <c r="C59" s="1" t="s">
        <v>5</v>
      </c>
      <c r="D59" s="1">
        <v>94.9</v>
      </c>
      <c r="E59" s="7">
        <v>11800</v>
      </c>
      <c r="F59" s="2">
        <f t="shared" si="50"/>
        <v>0.11799999999999999</v>
      </c>
      <c r="G59" s="14">
        <v>0.1</v>
      </c>
      <c r="H59" s="15">
        <f t="shared" si="38"/>
        <v>10000</v>
      </c>
      <c r="I59" s="55">
        <f t="shared" si="39"/>
        <v>1.7999999999999988E-2</v>
      </c>
      <c r="J59" s="31">
        <f t="shared" si="40"/>
        <v>1800</v>
      </c>
      <c r="K59" s="58" t="str">
        <f t="shared" si="41"/>
        <v/>
      </c>
      <c r="L59" s="58">
        <f t="shared" si="42"/>
        <v>1.7999999999999988E-2</v>
      </c>
      <c r="M59" s="28">
        <v>0.08</v>
      </c>
      <c r="N59" s="28">
        <v>0.12</v>
      </c>
      <c r="O59" s="32" t="str">
        <f t="shared" si="43"/>
        <v/>
      </c>
      <c r="P59" s="63" t="str">
        <f t="shared" si="44"/>
        <v/>
      </c>
      <c r="Q59" s="45">
        <v>-400</v>
      </c>
      <c r="R59" s="46">
        <f t="shared" si="45"/>
        <v>11400</v>
      </c>
      <c r="S59" s="2">
        <f t="shared" si="46"/>
        <v>0.114</v>
      </c>
      <c r="T59" s="11">
        <f t="shared" si="47"/>
        <v>1.3999999999999999E-2</v>
      </c>
      <c r="U59" s="12">
        <f t="shared" si="48"/>
        <v>1400</v>
      </c>
      <c r="V59" s="47" t="str">
        <f t="shared" si="49"/>
        <v/>
      </c>
      <c r="W59" s="50">
        <f t="shared" si="51"/>
        <v>1.3999999999999999E-2</v>
      </c>
      <c r="Y59" s="142">
        <f>S54+S55+S57+S58</f>
        <v>0.30000000000000004</v>
      </c>
      <c r="Z59" t="s">
        <v>124</v>
      </c>
      <c r="AI59" s="4">
        <f>0.7*H$79*(N59-G59)</f>
        <v>1399.9999999999993</v>
      </c>
    </row>
    <row r="60" spans="1:35" x14ac:dyDescent="0.35">
      <c r="B60" t="s">
        <v>15</v>
      </c>
      <c r="C60" s="1" t="s">
        <v>6</v>
      </c>
      <c r="D60" s="1">
        <v>197.79</v>
      </c>
      <c r="E60" s="7">
        <v>11900</v>
      </c>
      <c r="F60" s="2">
        <f t="shared" si="50"/>
        <v>0.11899999999999999</v>
      </c>
      <c r="G60" s="14">
        <v>0.1</v>
      </c>
      <c r="H60" s="15">
        <f t="shared" si="38"/>
        <v>10000</v>
      </c>
      <c r="I60" s="55">
        <f t="shared" si="39"/>
        <v>1.8999999999999989E-2</v>
      </c>
      <c r="J60" s="31">
        <f t="shared" si="40"/>
        <v>1900</v>
      </c>
      <c r="K60" s="58" t="str">
        <f t="shared" si="41"/>
        <v/>
      </c>
      <c r="L60" s="58">
        <f t="shared" si="42"/>
        <v>1.8999999999999989E-2</v>
      </c>
      <c r="M60" s="28">
        <v>0.08</v>
      </c>
      <c r="N60" s="28">
        <v>0.12</v>
      </c>
      <c r="O60" s="32" t="str">
        <f t="shared" si="43"/>
        <v/>
      </c>
      <c r="P60" s="63" t="str">
        <f t="shared" si="44"/>
        <v/>
      </c>
      <c r="Q60" s="45">
        <v>-500</v>
      </c>
      <c r="R60" s="7">
        <f t="shared" si="45"/>
        <v>11400</v>
      </c>
      <c r="S60" s="2">
        <f t="shared" si="46"/>
        <v>0.114</v>
      </c>
      <c r="T60" s="11">
        <f t="shared" si="47"/>
        <v>1.3999999999999999E-2</v>
      </c>
      <c r="U60" s="12">
        <f t="shared" si="48"/>
        <v>1400</v>
      </c>
      <c r="V60" s="47" t="str">
        <f t="shared" si="49"/>
        <v/>
      </c>
      <c r="W60" s="50">
        <f t="shared" si="51"/>
        <v>1.3999999999999999E-2</v>
      </c>
      <c r="Y60" s="1"/>
      <c r="AI60" s="4">
        <f>0.7*H$79*(N60-G60)</f>
        <v>1399.9999999999993</v>
      </c>
    </row>
    <row r="61" spans="1:35" x14ac:dyDescent="0.35">
      <c r="B61" s="8" t="s">
        <v>21</v>
      </c>
      <c r="C61" s="10" t="s">
        <v>20</v>
      </c>
      <c r="D61" s="10">
        <v>81.81</v>
      </c>
      <c r="E61" s="7">
        <v>12500</v>
      </c>
      <c r="F61" s="167">
        <f t="shared" si="50"/>
        <v>0.125</v>
      </c>
      <c r="G61" s="28">
        <v>0.1</v>
      </c>
      <c r="H61" s="15">
        <f t="shared" si="38"/>
        <v>10000</v>
      </c>
      <c r="I61" s="56">
        <f t="shared" si="39"/>
        <v>2.4999999999999994E-2</v>
      </c>
      <c r="J61" s="31">
        <f t="shared" si="40"/>
        <v>2500</v>
      </c>
      <c r="K61" s="48" t="str">
        <f t="shared" si="41"/>
        <v/>
      </c>
      <c r="L61" s="48">
        <f t="shared" si="42"/>
        <v>2.4999999999999994E-2</v>
      </c>
      <c r="M61" s="28">
        <v>0.08</v>
      </c>
      <c r="N61" s="28">
        <v>0.12</v>
      </c>
      <c r="O61" s="34" t="str">
        <f t="shared" si="43"/>
        <v/>
      </c>
      <c r="P61" s="63">
        <f t="shared" si="44"/>
        <v>5.0000000000000044E-3</v>
      </c>
      <c r="Q61" s="45">
        <v>-1100</v>
      </c>
      <c r="R61" s="7">
        <f t="shared" si="45"/>
        <v>11400</v>
      </c>
      <c r="S61" s="2">
        <f t="shared" si="46"/>
        <v>0.114</v>
      </c>
      <c r="T61" s="11">
        <f t="shared" si="47"/>
        <v>1.3999999999999999E-2</v>
      </c>
      <c r="U61" s="12">
        <f t="shared" si="48"/>
        <v>1400</v>
      </c>
      <c r="V61" s="48" t="str">
        <f t="shared" si="49"/>
        <v/>
      </c>
      <c r="W61" s="51">
        <f t="shared" si="51"/>
        <v>1.3999999999999999E-2</v>
      </c>
      <c r="Y61" s="1"/>
      <c r="AI61" s="4">
        <f>0.7*H$79*(N61-G61)</f>
        <v>1399.9999999999993</v>
      </c>
    </row>
    <row r="62" spans="1:35" ht="5.25" customHeight="1" x14ac:dyDescent="0.35">
      <c r="E62" s="7"/>
      <c r="F62" s="2"/>
      <c r="G62" s="16"/>
      <c r="H62" s="16"/>
      <c r="I62" s="55"/>
      <c r="J62" s="13"/>
      <c r="K62" s="47"/>
      <c r="L62" s="47"/>
      <c r="M62" s="16"/>
      <c r="N62" s="16"/>
      <c r="O62" s="1"/>
      <c r="P62" s="60"/>
      <c r="Q62" s="7"/>
      <c r="R62" s="7"/>
      <c r="S62" s="2"/>
      <c r="T62" s="11"/>
      <c r="U62" s="13"/>
      <c r="V62" s="47"/>
      <c r="W62" s="47"/>
      <c r="Y62" s="1"/>
    </row>
    <row r="63" spans="1:35" x14ac:dyDescent="0.35">
      <c r="E63" s="9">
        <f>SUM(E51:E61)</f>
        <v>100000</v>
      </c>
      <c r="F63" s="2">
        <f>E63/$E63</f>
        <v>1</v>
      </c>
      <c r="G63" s="14">
        <f>SUM(G51:G61)</f>
        <v>0.99999999999999989</v>
      </c>
      <c r="H63" s="15">
        <f>SUM(H51:H61)</f>
        <v>100000</v>
      </c>
      <c r="I63" s="55">
        <f>F63-G63</f>
        <v>0</v>
      </c>
      <c r="J63" s="12">
        <f>SUM(J51:J61)</f>
        <v>0</v>
      </c>
      <c r="K63" s="136">
        <f>SUM(K51:K61)</f>
        <v>-7.6000000000000026E-2</v>
      </c>
      <c r="L63" s="137">
        <f>SUM(L51:L61)</f>
        <v>7.599999999999997E-2</v>
      </c>
      <c r="M63" s="14"/>
      <c r="N63" s="14"/>
      <c r="O63" s="2">
        <f>SUM(O51:O61)</f>
        <v>-8.0000000000000071E-3</v>
      </c>
      <c r="P63" s="61">
        <f>SUM(P51:P61)</f>
        <v>5.0000000000000044E-3</v>
      </c>
      <c r="Q63" s="3">
        <f>SUM(Q51:Q61)</f>
        <v>0</v>
      </c>
      <c r="R63" s="9">
        <f>SUM(R51:R61)</f>
        <v>100000</v>
      </c>
      <c r="S63" s="2">
        <f t="shared" ref="S63" si="52">R63/$R$31</f>
        <v>1</v>
      </c>
      <c r="T63" s="11">
        <f>-SUM(T51:T61)</f>
        <v>4.163336342344337E-17</v>
      </c>
      <c r="U63" s="12">
        <f>SUM(U51:U61)</f>
        <v>0</v>
      </c>
      <c r="V63" s="136">
        <f>SUM(V51:V61)</f>
        <v>-5.1000000000000045E-2</v>
      </c>
      <c r="W63" s="137">
        <f>SUM(W51:W61)</f>
        <v>5.1000000000000004E-2</v>
      </c>
      <c r="Y63" s="1"/>
    </row>
    <row r="64" spans="1:35" x14ac:dyDescent="0.35">
      <c r="H64" s="133" t="s">
        <v>3</v>
      </c>
      <c r="I64" s="135">
        <f t="array" ref="I64">SQRT(MMULT(MMULT(TRANSPOSE(I51:I61),'Risk Stats for Calcs (orig ord)'!$O$3:$Y$13),I51:I61))</f>
        <v>1.8366675698196468E-2</v>
      </c>
      <c r="K64" s="131" t="s">
        <v>42</v>
      </c>
      <c r="L64" s="132" t="s">
        <v>42</v>
      </c>
      <c r="O64" s="138">
        <f>P63-O63</f>
        <v>1.3000000000000012E-2</v>
      </c>
      <c r="P64" s="139" t="s">
        <v>109</v>
      </c>
      <c r="S64" s="133" t="s">
        <v>3</v>
      </c>
      <c r="T64" s="135">
        <f t="array" ref="T64">SQRT(MMULT(MMULT(TRANSPOSE(T51:T61),'Risk Stats for Calcs (orig ord)'!$O$3:$Y$13),T51:T61))</f>
        <v>1.3038848040902069E-2</v>
      </c>
      <c r="U64" s="1"/>
      <c r="V64" s="131" t="s">
        <v>42</v>
      </c>
      <c r="W64" s="132" t="s">
        <v>42</v>
      </c>
      <c r="Y64" s="1"/>
    </row>
    <row r="65" spans="1:37" x14ac:dyDescent="0.35">
      <c r="A65" s="36"/>
      <c r="B65" s="36"/>
      <c r="C65" s="36"/>
      <c r="D65" s="36"/>
      <c r="E65" s="38"/>
      <c r="F65" s="37"/>
      <c r="G65" s="36"/>
      <c r="H65" s="36"/>
      <c r="I65" s="37"/>
      <c r="J65" s="37"/>
      <c r="K65" s="37"/>
      <c r="L65" s="37"/>
      <c r="M65" s="36"/>
      <c r="N65" s="36"/>
      <c r="O65" s="36"/>
      <c r="P65" s="62"/>
      <c r="Q65" s="36"/>
      <c r="R65" s="36"/>
      <c r="S65" s="36"/>
      <c r="T65" s="36"/>
      <c r="U65" s="36"/>
      <c r="V65" s="36"/>
      <c r="W65" s="36"/>
      <c r="X65" s="36"/>
      <c r="Y65" s="37"/>
      <c r="Z65" s="36"/>
      <c r="AA65" s="36"/>
      <c r="AB65" s="36"/>
      <c r="AC65" s="36"/>
      <c r="AD65" s="36"/>
      <c r="AE65" s="36"/>
      <c r="AF65" s="36"/>
      <c r="AG65" s="36"/>
      <c r="AH65" s="36"/>
    </row>
    <row r="66" spans="1:37" ht="44" customHeight="1" thickBot="1" x14ac:dyDescent="0.4">
      <c r="B66" s="106" t="s">
        <v>141</v>
      </c>
      <c r="C66" s="92" t="s">
        <v>23</v>
      </c>
      <c r="D66" s="92" t="s">
        <v>24</v>
      </c>
      <c r="E66" s="102" t="s">
        <v>118</v>
      </c>
      <c r="F66" s="92" t="s">
        <v>30</v>
      </c>
      <c r="G66" s="103" t="s">
        <v>27</v>
      </c>
      <c r="H66" s="103" t="s">
        <v>28</v>
      </c>
      <c r="I66" s="104" t="s">
        <v>31</v>
      </c>
      <c r="J66" s="104" t="s">
        <v>32</v>
      </c>
      <c r="K66" s="92" t="s">
        <v>41</v>
      </c>
      <c r="L66" s="92" t="s">
        <v>40</v>
      </c>
      <c r="M66" s="103" t="s">
        <v>43</v>
      </c>
      <c r="N66" s="103" t="s">
        <v>44</v>
      </c>
      <c r="O66" s="92" t="s">
        <v>45</v>
      </c>
      <c r="P66" s="108" t="s">
        <v>46</v>
      </c>
      <c r="Q66" s="102" t="s">
        <v>117</v>
      </c>
      <c r="R66" s="102" t="s">
        <v>116</v>
      </c>
      <c r="S66" s="92" t="s">
        <v>64</v>
      </c>
      <c r="T66" s="104" t="s">
        <v>66</v>
      </c>
      <c r="U66" s="104" t="s">
        <v>67</v>
      </c>
      <c r="V66" s="92" t="s">
        <v>41</v>
      </c>
      <c r="W66" s="92" t="s">
        <v>40</v>
      </c>
      <c r="Y66" s="92" t="s">
        <v>93</v>
      </c>
      <c r="Z66" s="75" t="s">
        <v>94</v>
      </c>
      <c r="AI66" s="77" t="s">
        <v>104</v>
      </c>
    </row>
    <row r="67" spans="1:37" x14ac:dyDescent="0.35">
      <c r="A67" s="39" t="s">
        <v>33</v>
      </c>
      <c r="B67" t="s">
        <v>14</v>
      </c>
      <c r="C67" s="1" t="s">
        <v>13</v>
      </c>
      <c r="D67" s="1">
        <v>143.66</v>
      </c>
      <c r="E67" s="7">
        <v>7400</v>
      </c>
      <c r="F67" s="167">
        <f>E67/$E$15</f>
        <v>7.3999999999999996E-2</v>
      </c>
      <c r="G67" s="14">
        <v>0.1</v>
      </c>
      <c r="H67" s="15">
        <f>$E$79*G67</f>
        <v>10000</v>
      </c>
      <c r="I67" s="55">
        <f t="shared" ref="I67:I77" si="53">F67-G67</f>
        <v>-2.6000000000000009E-2</v>
      </c>
      <c r="J67" s="31">
        <f t="shared" ref="J67:J77" si="54">E67-H67</f>
        <v>-2600</v>
      </c>
      <c r="K67" s="58">
        <f t="shared" ref="K67:K77" si="55">IF(I67&lt;0,I67,"")</f>
        <v>-2.6000000000000009E-2</v>
      </c>
      <c r="L67" s="58" t="str">
        <f t="shared" ref="L67:L77" si="56">IF(I67&gt;0,I67,"")</f>
        <v/>
      </c>
      <c r="M67" s="28">
        <v>0.08</v>
      </c>
      <c r="N67" s="14">
        <v>0.12</v>
      </c>
      <c r="O67" s="44">
        <f t="shared" ref="O67:O77" si="57">IF(F67&lt;M67,F67-M67,"")</f>
        <v>-6.0000000000000053E-3</v>
      </c>
      <c r="P67" s="59" t="str">
        <f t="shared" ref="P67:P77" si="58">IF(F67&gt;N67,F67-N67,"")</f>
        <v/>
      </c>
      <c r="Q67" s="45">
        <v>600</v>
      </c>
      <c r="R67" s="46">
        <f t="shared" ref="R67:R77" si="59">E67+Q67</f>
        <v>8000</v>
      </c>
      <c r="S67" s="73">
        <f>R67/$R$79</f>
        <v>0.08</v>
      </c>
      <c r="T67" s="30">
        <f t="shared" ref="T67:T77" si="60">S67-G67</f>
        <v>-2.0000000000000004E-2</v>
      </c>
      <c r="U67" s="31">
        <f>R67-$R$79*G67</f>
        <v>-2000</v>
      </c>
      <c r="V67" s="58">
        <f t="shared" ref="V67:V77" si="61">IF(T67&lt;0,T67,"")</f>
        <v>-2.0000000000000004E-2</v>
      </c>
      <c r="W67" s="58" t="str">
        <f t="shared" ref="W67:W77" si="62">IF(T67&gt;0,T67,"")</f>
        <v/>
      </c>
      <c r="Y67" s="47">
        <f>MAX(W67:W77)</f>
        <v>1.999999999999999E-2</v>
      </c>
      <c r="Z67" s="121" t="s">
        <v>128</v>
      </c>
      <c r="AI67" s="74">
        <f>J67*-1</f>
        <v>2600</v>
      </c>
      <c r="AK67" t="s">
        <v>85</v>
      </c>
    </row>
    <row r="68" spans="1:37" x14ac:dyDescent="0.35">
      <c r="A68" t="s">
        <v>96</v>
      </c>
      <c r="B68" t="s">
        <v>16</v>
      </c>
      <c r="C68" s="1" t="s">
        <v>4</v>
      </c>
      <c r="D68" s="1">
        <v>255.29</v>
      </c>
      <c r="E68" s="7">
        <v>7800</v>
      </c>
      <c r="F68" s="167">
        <f t="shared" ref="F68:F77" si="63">E68/$E$15</f>
        <v>7.8E-2</v>
      </c>
      <c r="G68" s="14">
        <v>0.1</v>
      </c>
      <c r="H68" s="15">
        <f t="shared" ref="H68:H77" si="64">$E$79*G68</f>
        <v>10000</v>
      </c>
      <c r="I68" s="55">
        <f t="shared" si="53"/>
        <v>-2.2000000000000006E-2</v>
      </c>
      <c r="J68" s="31">
        <f t="shared" si="54"/>
        <v>-2200</v>
      </c>
      <c r="K68" s="58">
        <f t="shared" si="55"/>
        <v>-2.2000000000000006E-2</v>
      </c>
      <c r="L68" s="58" t="str">
        <f t="shared" si="56"/>
        <v/>
      </c>
      <c r="M68" s="28">
        <v>0.08</v>
      </c>
      <c r="N68" s="14">
        <v>0.12</v>
      </c>
      <c r="O68" s="44">
        <f t="shared" si="57"/>
        <v>-2.0000000000000018E-3</v>
      </c>
      <c r="P68" s="59" t="str">
        <f t="shared" si="58"/>
        <v/>
      </c>
      <c r="Q68" s="45">
        <v>2200</v>
      </c>
      <c r="R68" s="46">
        <f t="shared" si="59"/>
        <v>10000</v>
      </c>
      <c r="S68" s="73">
        <f t="shared" ref="S68:S77" si="65">R68/$R$79</f>
        <v>0.1</v>
      </c>
      <c r="T68" s="30">
        <f t="shared" si="60"/>
        <v>0</v>
      </c>
      <c r="U68" s="31">
        <f t="shared" ref="U68:U77" si="66">R68-$R$79*G68</f>
        <v>0</v>
      </c>
      <c r="V68" s="58" t="str">
        <f t="shared" si="61"/>
        <v/>
      </c>
      <c r="W68" s="58" t="str">
        <f t="shared" si="62"/>
        <v/>
      </c>
      <c r="Y68" s="119">
        <f>MIN(V67:V77)</f>
        <v>-2.0000000000000004E-2</v>
      </c>
      <c r="Z68" s="123" t="s">
        <v>129</v>
      </c>
      <c r="AI68" s="74">
        <f t="shared" ref="AI68:AI77" si="67">J68*-1</f>
        <v>2200</v>
      </c>
    </row>
    <row r="69" spans="1:37" x14ac:dyDescent="0.35">
      <c r="A69" s="39" t="s">
        <v>100</v>
      </c>
      <c r="B69" s="8" t="s">
        <v>18</v>
      </c>
      <c r="C69" s="10" t="s">
        <v>19</v>
      </c>
      <c r="D69" s="10">
        <v>140.66999999999999</v>
      </c>
      <c r="E69" s="7">
        <v>8100</v>
      </c>
      <c r="F69" s="2">
        <f t="shared" si="63"/>
        <v>8.1000000000000003E-2</v>
      </c>
      <c r="G69" s="28">
        <v>0.1</v>
      </c>
      <c r="H69" s="15">
        <f t="shared" si="64"/>
        <v>10000</v>
      </c>
      <c r="I69" s="56">
        <f t="shared" si="53"/>
        <v>-1.9000000000000003E-2</v>
      </c>
      <c r="J69" s="31">
        <f t="shared" si="54"/>
        <v>-1900</v>
      </c>
      <c r="K69" s="48">
        <f t="shared" si="55"/>
        <v>-1.9000000000000003E-2</v>
      </c>
      <c r="L69" s="48" t="str">
        <f t="shared" si="56"/>
        <v/>
      </c>
      <c r="M69" s="28">
        <v>0.08</v>
      </c>
      <c r="N69" s="28">
        <v>0.12</v>
      </c>
      <c r="O69" s="34" t="str">
        <f t="shared" si="57"/>
        <v/>
      </c>
      <c r="P69" s="63" t="str">
        <f t="shared" si="58"/>
        <v/>
      </c>
      <c r="Q69" s="46">
        <v>0</v>
      </c>
      <c r="R69" s="46">
        <f t="shared" si="59"/>
        <v>8100</v>
      </c>
      <c r="S69" s="73">
        <f t="shared" si="65"/>
        <v>8.1000000000000003E-2</v>
      </c>
      <c r="T69" s="30">
        <f t="shared" si="60"/>
        <v>-1.9000000000000003E-2</v>
      </c>
      <c r="U69" s="31">
        <f t="shared" si="66"/>
        <v>-1900</v>
      </c>
      <c r="V69" s="48">
        <f t="shared" si="61"/>
        <v>-1.9000000000000003E-2</v>
      </c>
      <c r="W69" s="48" t="str">
        <f t="shared" si="62"/>
        <v/>
      </c>
      <c r="Y69" s="47">
        <f>W79</f>
        <v>4.5961699999999994E-2</v>
      </c>
      <c r="Z69" s="121" t="s">
        <v>130</v>
      </c>
      <c r="AI69" s="74">
        <f t="shared" si="67"/>
        <v>1900</v>
      </c>
    </row>
    <row r="70" spans="1:37" x14ac:dyDescent="0.35">
      <c r="A70" s="40" t="s">
        <v>103</v>
      </c>
      <c r="B70" t="s">
        <v>9</v>
      </c>
      <c r="C70" s="1" t="s">
        <v>10</v>
      </c>
      <c r="D70" s="1">
        <v>92.49</v>
      </c>
      <c r="E70" s="7">
        <v>9400</v>
      </c>
      <c r="F70" s="2">
        <f t="shared" si="63"/>
        <v>9.4E-2</v>
      </c>
      <c r="G70" s="14">
        <v>0.1</v>
      </c>
      <c r="H70" s="15">
        <f t="shared" si="64"/>
        <v>10000</v>
      </c>
      <c r="I70" s="55">
        <f t="shared" si="53"/>
        <v>-6.0000000000000053E-3</v>
      </c>
      <c r="J70" s="31">
        <f t="shared" si="54"/>
        <v>-600</v>
      </c>
      <c r="K70" s="58">
        <f t="shared" si="55"/>
        <v>-6.0000000000000053E-3</v>
      </c>
      <c r="L70" s="58" t="str">
        <f t="shared" si="56"/>
        <v/>
      </c>
      <c r="M70" s="28">
        <v>0.08</v>
      </c>
      <c r="N70" s="28">
        <v>0.12</v>
      </c>
      <c r="O70" s="32" t="str">
        <f t="shared" si="57"/>
        <v/>
      </c>
      <c r="P70" s="63" t="str">
        <f t="shared" si="58"/>
        <v/>
      </c>
      <c r="Q70" s="45">
        <v>203.83</v>
      </c>
      <c r="R70" s="46">
        <f t="shared" si="59"/>
        <v>9603.83</v>
      </c>
      <c r="S70" s="73">
        <f t="shared" si="65"/>
        <v>9.6038299999999993E-2</v>
      </c>
      <c r="T70" s="30">
        <f t="shared" si="60"/>
        <v>-3.9617000000000124E-3</v>
      </c>
      <c r="U70" s="31">
        <f t="shared" si="66"/>
        <v>-396.17000000000007</v>
      </c>
      <c r="V70" s="58">
        <f t="shared" si="61"/>
        <v>-3.9617000000000124E-3</v>
      </c>
      <c r="W70" s="58" t="str">
        <f t="shared" si="62"/>
        <v/>
      </c>
      <c r="Y70" s="18">
        <v>0</v>
      </c>
      <c r="Z70" t="s">
        <v>138</v>
      </c>
      <c r="AI70" s="74">
        <f t="shared" si="67"/>
        <v>600</v>
      </c>
    </row>
    <row r="71" spans="1:37" x14ac:dyDescent="0.35">
      <c r="A71" s="6"/>
      <c r="B71" t="s">
        <v>68</v>
      </c>
      <c r="C71" s="1" t="s">
        <v>8</v>
      </c>
      <c r="D71" s="1">
        <v>77.84</v>
      </c>
      <c r="E71" s="7">
        <v>9700</v>
      </c>
      <c r="F71" s="2">
        <f t="shared" si="63"/>
        <v>9.7000000000000003E-2</v>
      </c>
      <c r="G71" s="14">
        <v>0.1</v>
      </c>
      <c r="H71" s="15">
        <f t="shared" si="64"/>
        <v>10000</v>
      </c>
      <c r="I71" s="55">
        <f t="shared" si="53"/>
        <v>-3.0000000000000027E-3</v>
      </c>
      <c r="J71" s="31">
        <f t="shared" si="54"/>
        <v>-300</v>
      </c>
      <c r="K71" s="58">
        <f t="shared" si="55"/>
        <v>-3.0000000000000027E-3</v>
      </c>
      <c r="L71" s="58" t="str">
        <f t="shared" si="56"/>
        <v/>
      </c>
      <c r="M71" s="28">
        <v>0.08</v>
      </c>
      <c r="N71" s="28">
        <v>0.12</v>
      </c>
      <c r="O71" s="32" t="str">
        <f t="shared" si="57"/>
        <v/>
      </c>
      <c r="P71" s="63" t="str">
        <f t="shared" si="58"/>
        <v/>
      </c>
      <c r="Q71" s="46">
        <v>0</v>
      </c>
      <c r="R71" s="46">
        <f t="shared" si="59"/>
        <v>9700</v>
      </c>
      <c r="S71" s="73">
        <f t="shared" si="65"/>
        <v>9.7000000000000003E-2</v>
      </c>
      <c r="T71" s="30">
        <f t="shared" si="60"/>
        <v>-3.0000000000000027E-3</v>
      </c>
      <c r="U71" s="31">
        <f t="shared" si="66"/>
        <v>-300</v>
      </c>
      <c r="V71" s="58">
        <f t="shared" si="61"/>
        <v>-3.0000000000000027E-3</v>
      </c>
      <c r="W71" s="58" t="str">
        <f t="shared" si="62"/>
        <v/>
      </c>
      <c r="Y71" s="119">
        <f>T80</f>
        <v>9.9999120307146649E-3</v>
      </c>
      <c r="Z71" s="123" t="s">
        <v>90</v>
      </c>
      <c r="AI71" s="74">
        <f t="shared" si="67"/>
        <v>300</v>
      </c>
    </row>
    <row r="72" spans="1:37" x14ac:dyDescent="0.35">
      <c r="B72" s="8" t="s">
        <v>26</v>
      </c>
      <c r="C72" s="10" t="s">
        <v>25</v>
      </c>
      <c r="D72" s="10">
        <v>112.81</v>
      </c>
      <c r="E72" s="7">
        <v>10000</v>
      </c>
      <c r="F72" s="2">
        <f t="shared" si="63"/>
        <v>0.1</v>
      </c>
      <c r="G72" s="14">
        <v>0.1</v>
      </c>
      <c r="H72" s="15">
        <f t="shared" si="64"/>
        <v>10000</v>
      </c>
      <c r="I72" s="55">
        <f t="shared" si="53"/>
        <v>0</v>
      </c>
      <c r="J72" s="31">
        <f t="shared" si="54"/>
        <v>0</v>
      </c>
      <c r="K72" s="48" t="str">
        <f t="shared" si="55"/>
        <v/>
      </c>
      <c r="L72" s="48" t="str">
        <f t="shared" si="56"/>
        <v/>
      </c>
      <c r="M72" s="28">
        <v>0.08</v>
      </c>
      <c r="N72" s="28">
        <v>0.12</v>
      </c>
      <c r="O72" s="34" t="str">
        <f t="shared" si="57"/>
        <v/>
      </c>
      <c r="P72" s="63" t="str">
        <f t="shared" si="58"/>
        <v/>
      </c>
      <c r="Q72" s="46">
        <v>0</v>
      </c>
      <c r="R72" s="46">
        <f t="shared" si="59"/>
        <v>10000</v>
      </c>
      <c r="S72" s="73">
        <f t="shared" si="65"/>
        <v>0.1</v>
      </c>
      <c r="T72" s="30">
        <f t="shared" si="60"/>
        <v>0</v>
      </c>
      <c r="U72" s="31">
        <f t="shared" si="66"/>
        <v>0</v>
      </c>
      <c r="V72" s="48" t="str">
        <f t="shared" si="61"/>
        <v/>
      </c>
      <c r="W72" s="48" t="str">
        <f t="shared" si="62"/>
        <v/>
      </c>
      <c r="Y72" s="1">
        <f>COUNTIF(Q67:Q77,"&lt;&gt;0")</f>
        <v>8</v>
      </c>
      <c r="Z72" s="140" t="s">
        <v>92</v>
      </c>
      <c r="AI72" s="74">
        <f t="shared" si="67"/>
        <v>0</v>
      </c>
    </row>
    <row r="73" spans="1:37" x14ac:dyDescent="0.35">
      <c r="B73" t="s">
        <v>69</v>
      </c>
      <c r="C73" s="1" t="s">
        <v>12</v>
      </c>
      <c r="D73" s="1">
        <v>27.98</v>
      </c>
      <c r="E73" s="7">
        <v>8400</v>
      </c>
      <c r="F73" s="2">
        <f t="shared" si="63"/>
        <v>8.4000000000000005E-2</v>
      </c>
      <c r="G73" s="14">
        <v>0.08</v>
      </c>
      <c r="H73" s="15">
        <f t="shared" si="64"/>
        <v>8000</v>
      </c>
      <c r="I73" s="55">
        <f t="shared" si="53"/>
        <v>4.0000000000000036E-3</v>
      </c>
      <c r="J73" s="31">
        <f t="shared" si="54"/>
        <v>400</v>
      </c>
      <c r="K73" s="58" t="str">
        <f t="shared" si="55"/>
        <v/>
      </c>
      <c r="L73" s="58">
        <f t="shared" si="56"/>
        <v>4.0000000000000036E-3</v>
      </c>
      <c r="M73" s="28">
        <v>0.06</v>
      </c>
      <c r="N73" s="28">
        <v>0.1</v>
      </c>
      <c r="O73" s="32" t="str">
        <f t="shared" si="57"/>
        <v/>
      </c>
      <c r="P73" s="63" t="str">
        <f t="shared" si="58"/>
        <v/>
      </c>
      <c r="Q73" s="45">
        <v>150.1</v>
      </c>
      <c r="R73" s="46">
        <f t="shared" si="59"/>
        <v>8550.1</v>
      </c>
      <c r="S73" s="73">
        <f t="shared" si="65"/>
        <v>8.5501000000000008E-2</v>
      </c>
      <c r="T73" s="30">
        <f t="shared" si="60"/>
        <v>5.5010000000000059E-3</v>
      </c>
      <c r="U73" s="31">
        <f t="shared" si="66"/>
        <v>550.10000000000036</v>
      </c>
      <c r="V73" s="58" t="str">
        <f t="shared" si="61"/>
        <v/>
      </c>
      <c r="W73" s="58">
        <f t="shared" si="62"/>
        <v>5.5010000000000059E-3</v>
      </c>
      <c r="Y73" s="148">
        <f>ABS(Q67)+ABS(Q68)+ABS(Q69)+ABS(Q70)+ABS(Q71)+ABS(Q72)+ABS(Q73)+ABS(Q76)+ABS(Q77)</f>
        <v>3661.6699999999996</v>
      </c>
      <c r="Z73" s="78" t="s">
        <v>139</v>
      </c>
      <c r="AI73" s="74">
        <f t="shared" si="67"/>
        <v>-400</v>
      </c>
    </row>
    <row r="74" spans="1:37" x14ac:dyDescent="0.35">
      <c r="B74" t="s">
        <v>65</v>
      </c>
      <c r="C74" s="1" t="s">
        <v>65</v>
      </c>
      <c r="D74" s="42">
        <v>1</v>
      </c>
      <c r="E74" s="7">
        <v>3000</v>
      </c>
      <c r="F74" s="2">
        <f t="shared" si="63"/>
        <v>0.03</v>
      </c>
      <c r="G74" s="14">
        <v>0.02</v>
      </c>
      <c r="H74" s="15">
        <f t="shared" si="64"/>
        <v>2000</v>
      </c>
      <c r="I74" s="55">
        <f t="shared" si="53"/>
        <v>9.9999999999999985E-3</v>
      </c>
      <c r="J74" s="31">
        <f t="shared" si="54"/>
        <v>1000</v>
      </c>
      <c r="K74" s="58" t="str">
        <f t="shared" si="55"/>
        <v/>
      </c>
      <c r="L74" s="58">
        <f t="shared" si="56"/>
        <v>9.9999999999999985E-3</v>
      </c>
      <c r="M74" s="28">
        <v>6.0000000000000001E-3</v>
      </c>
      <c r="N74" s="28">
        <v>0.04</v>
      </c>
      <c r="O74" s="32" t="str">
        <f t="shared" si="57"/>
        <v/>
      </c>
      <c r="P74" s="63" t="str">
        <f t="shared" si="58"/>
        <v/>
      </c>
      <c r="Q74" s="45">
        <v>-861.67</v>
      </c>
      <c r="R74" s="46">
        <f t="shared" si="59"/>
        <v>2138.33</v>
      </c>
      <c r="S74" s="73">
        <f t="shared" si="65"/>
        <v>2.1383300000000001E-2</v>
      </c>
      <c r="T74" s="30">
        <f t="shared" si="60"/>
        <v>1.3833000000000005E-3</v>
      </c>
      <c r="U74" s="31">
        <f t="shared" si="66"/>
        <v>138.32999999999993</v>
      </c>
      <c r="V74" s="58" t="str">
        <f t="shared" si="61"/>
        <v/>
      </c>
      <c r="W74" s="58">
        <f t="shared" si="62"/>
        <v>1.3833000000000005E-3</v>
      </c>
      <c r="Y74" s="18">
        <f>S67+S68+S69+S72+S75+S76+S77</f>
        <v>0.70007739999999996</v>
      </c>
      <c r="Z74" t="s">
        <v>123</v>
      </c>
      <c r="AI74" s="74">
        <f t="shared" si="67"/>
        <v>-1000</v>
      </c>
    </row>
    <row r="75" spans="1:37" x14ac:dyDescent="0.35">
      <c r="B75" t="s">
        <v>17</v>
      </c>
      <c r="C75" s="1" t="s">
        <v>5</v>
      </c>
      <c r="D75" s="1">
        <v>94.9</v>
      </c>
      <c r="E75" s="7">
        <v>11800</v>
      </c>
      <c r="F75" s="2">
        <f t="shared" si="63"/>
        <v>0.11799999999999999</v>
      </c>
      <c r="G75" s="14">
        <v>0.1</v>
      </c>
      <c r="H75" s="15">
        <f t="shared" si="64"/>
        <v>10000</v>
      </c>
      <c r="I75" s="55">
        <f t="shared" si="53"/>
        <v>1.7999999999999988E-2</v>
      </c>
      <c r="J75" s="31">
        <f t="shared" si="54"/>
        <v>1800</v>
      </c>
      <c r="K75" s="58" t="str">
        <f t="shared" si="55"/>
        <v/>
      </c>
      <c r="L75" s="58">
        <f t="shared" si="56"/>
        <v>1.7999999999999988E-2</v>
      </c>
      <c r="M75" s="28">
        <v>0.08</v>
      </c>
      <c r="N75" s="28">
        <v>0.12</v>
      </c>
      <c r="O75" s="32" t="str">
        <f t="shared" si="57"/>
        <v/>
      </c>
      <c r="P75" s="63" t="str">
        <f t="shared" si="58"/>
        <v/>
      </c>
      <c r="Q75" s="45">
        <v>-1800</v>
      </c>
      <c r="R75" s="46">
        <f t="shared" si="59"/>
        <v>10000</v>
      </c>
      <c r="S75" s="73">
        <f t="shared" si="65"/>
        <v>0.1</v>
      </c>
      <c r="T75" s="30">
        <f t="shared" si="60"/>
        <v>0</v>
      </c>
      <c r="U75" s="31">
        <f t="shared" si="66"/>
        <v>0</v>
      </c>
      <c r="V75" s="58" t="str">
        <f t="shared" si="61"/>
        <v/>
      </c>
      <c r="W75" s="58" t="str">
        <f t="shared" si="62"/>
        <v/>
      </c>
      <c r="Y75" s="142">
        <f>S70+S71+S73+S74</f>
        <v>0.29992259999999998</v>
      </c>
      <c r="Z75" t="s">
        <v>124</v>
      </c>
      <c r="AI75" s="74">
        <f t="shared" si="67"/>
        <v>-1800</v>
      </c>
    </row>
    <row r="76" spans="1:37" x14ac:dyDescent="0.35">
      <c r="B76" t="s">
        <v>15</v>
      </c>
      <c r="C76" s="1" t="s">
        <v>6</v>
      </c>
      <c r="D76" s="1">
        <v>197.79</v>
      </c>
      <c r="E76" s="7">
        <v>11900</v>
      </c>
      <c r="F76" s="2">
        <f t="shared" si="63"/>
        <v>0.11899999999999999</v>
      </c>
      <c r="G76" s="14">
        <v>0.1</v>
      </c>
      <c r="H76" s="15">
        <f t="shared" si="64"/>
        <v>10000</v>
      </c>
      <c r="I76" s="55">
        <f t="shared" si="53"/>
        <v>1.8999999999999989E-2</v>
      </c>
      <c r="J76" s="31">
        <f t="shared" si="54"/>
        <v>1900</v>
      </c>
      <c r="K76" s="58" t="str">
        <f t="shared" si="55"/>
        <v/>
      </c>
      <c r="L76" s="58">
        <f t="shared" si="56"/>
        <v>1.8999999999999989E-2</v>
      </c>
      <c r="M76" s="28">
        <v>0.08</v>
      </c>
      <c r="N76" s="14">
        <v>0.12</v>
      </c>
      <c r="O76" s="18" t="str">
        <f t="shared" si="57"/>
        <v/>
      </c>
      <c r="P76" s="59" t="str">
        <f t="shared" si="58"/>
        <v/>
      </c>
      <c r="Q76" s="45">
        <v>7.74</v>
      </c>
      <c r="R76" s="46">
        <f t="shared" si="59"/>
        <v>11907.74</v>
      </c>
      <c r="S76" s="73">
        <f t="shared" si="65"/>
        <v>0.1190774</v>
      </c>
      <c r="T76" s="30">
        <f t="shared" si="60"/>
        <v>1.9077399999999994E-2</v>
      </c>
      <c r="U76" s="31">
        <f t="shared" si="66"/>
        <v>1907.7399999999998</v>
      </c>
      <c r="V76" s="58" t="str">
        <f t="shared" si="61"/>
        <v/>
      </c>
      <c r="W76" s="58">
        <f t="shared" si="62"/>
        <v>1.9077399999999994E-2</v>
      </c>
      <c r="Y76" s="141"/>
      <c r="AI76" s="74">
        <f t="shared" si="67"/>
        <v>-1900</v>
      </c>
    </row>
    <row r="77" spans="1:37" x14ac:dyDescent="0.35">
      <c r="B77" s="8" t="s">
        <v>21</v>
      </c>
      <c r="C77" s="10" t="s">
        <v>20</v>
      </c>
      <c r="D77" s="10">
        <v>81.81</v>
      </c>
      <c r="E77" s="7">
        <v>12500</v>
      </c>
      <c r="F77" s="167">
        <f t="shared" si="63"/>
        <v>0.125</v>
      </c>
      <c r="G77" s="28">
        <v>0.1</v>
      </c>
      <c r="H77" s="15">
        <f t="shared" si="64"/>
        <v>10000</v>
      </c>
      <c r="I77" s="56">
        <f t="shared" si="53"/>
        <v>2.4999999999999994E-2</v>
      </c>
      <c r="J77" s="31">
        <f t="shared" si="54"/>
        <v>2500</v>
      </c>
      <c r="K77" s="48" t="str">
        <f t="shared" si="55"/>
        <v/>
      </c>
      <c r="L77" s="48">
        <f t="shared" si="56"/>
        <v>2.4999999999999994E-2</v>
      </c>
      <c r="M77" s="28">
        <v>0.08</v>
      </c>
      <c r="N77" s="28">
        <v>0.12</v>
      </c>
      <c r="O77" s="34" t="str">
        <f t="shared" si="57"/>
        <v/>
      </c>
      <c r="P77" s="76">
        <f t="shared" si="58"/>
        <v>5.0000000000000044E-3</v>
      </c>
      <c r="Q77" s="45">
        <v>-500</v>
      </c>
      <c r="R77" s="46">
        <f t="shared" si="59"/>
        <v>12000</v>
      </c>
      <c r="S77" s="73">
        <f t="shared" si="65"/>
        <v>0.12</v>
      </c>
      <c r="T77" s="30">
        <f t="shared" si="60"/>
        <v>1.999999999999999E-2</v>
      </c>
      <c r="U77" s="31">
        <f t="shared" si="66"/>
        <v>2000</v>
      </c>
      <c r="V77" s="48" t="str">
        <f t="shared" si="61"/>
        <v/>
      </c>
      <c r="W77" s="48">
        <f t="shared" si="62"/>
        <v>1.999999999999999E-2</v>
      </c>
      <c r="AI77" s="74">
        <f t="shared" si="67"/>
        <v>-2500</v>
      </c>
    </row>
    <row r="78" spans="1:37" ht="5.25" customHeight="1" x14ac:dyDescent="0.35">
      <c r="E78" s="7"/>
      <c r="F78" s="2"/>
      <c r="G78" s="16"/>
      <c r="H78" s="16"/>
      <c r="I78" s="55"/>
      <c r="J78" s="13"/>
      <c r="K78" s="47"/>
      <c r="L78" s="47"/>
      <c r="M78" s="16"/>
      <c r="N78" s="16"/>
      <c r="O78" s="1"/>
      <c r="P78" s="60"/>
      <c r="Q78" s="7"/>
      <c r="R78" s="7"/>
      <c r="S78" s="2"/>
      <c r="T78" s="11"/>
      <c r="U78" s="13"/>
      <c r="V78" s="47"/>
      <c r="W78" s="47"/>
    </row>
    <row r="79" spans="1:37" x14ac:dyDescent="0.35">
      <c r="E79" s="9">
        <f>SUM(E67:E77)</f>
        <v>100000</v>
      </c>
      <c r="F79" s="2">
        <f>E79/$E79</f>
        <v>1</v>
      </c>
      <c r="G79" s="14">
        <f>SUM(G67:G77)</f>
        <v>0.99999999999999989</v>
      </c>
      <c r="H79" s="15">
        <f>SUM(H67:H77)</f>
        <v>100000</v>
      </c>
      <c r="I79" s="55">
        <f>F79-G79</f>
        <v>0</v>
      </c>
      <c r="J79" s="12">
        <f>SUM(J67:J77)</f>
        <v>0</v>
      </c>
      <c r="K79" s="136">
        <f>SUM(K67:K77)</f>
        <v>-7.6000000000000026E-2</v>
      </c>
      <c r="L79" s="137">
        <f>SUM(L67:L77)</f>
        <v>7.599999999999997E-2</v>
      </c>
      <c r="M79" s="14"/>
      <c r="N79" s="14"/>
      <c r="O79" s="2">
        <f>SUM(O67:O77)</f>
        <v>-8.0000000000000071E-3</v>
      </c>
      <c r="P79" s="61">
        <f>SUM(P67:P77)</f>
        <v>5.0000000000000044E-3</v>
      </c>
      <c r="Q79" s="3">
        <f>SUM(Q67:Q77)</f>
        <v>0</v>
      </c>
      <c r="R79" s="9">
        <f>SUM(R67:R77)</f>
        <v>100000</v>
      </c>
      <c r="S79" s="2">
        <f t="shared" ref="S79" si="68">R79/$R$31</f>
        <v>1</v>
      </c>
      <c r="T79" s="11">
        <f>-SUM(T67:T77)</f>
        <v>2.7755575615628914E-17</v>
      </c>
      <c r="U79" s="12">
        <f>SUM(U67:U77)</f>
        <v>0</v>
      </c>
      <c r="V79" s="136">
        <f>SUM(V67:V77)</f>
        <v>-4.5961700000000022E-2</v>
      </c>
      <c r="W79" s="137">
        <f>SUM(W67:W77)</f>
        <v>4.5961699999999994E-2</v>
      </c>
    </row>
    <row r="80" spans="1:37" x14ac:dyDescent="0.35">
      <c r="H80" s="133" t="s">
        <v>3</v>
      </c>
      <c r="I80" s="135">
        <f t="array" ref="I80">SQRT(MMULT(MMULT(TRANSPOSE(I67:I77),'Risk Stats for Calcs (orig ord)'!$O$3:$Y$13),I67:I77))</f>
        <v>1.8366675698196468E-2</v>
      </c>
      <c r="K80" s="131" t="s">
        <v>42</v>
      </c>
      <c r="L80" s="132" t="s">
        <v>42</v>
      </c>
      <c r="O80" s="138">
        <f>P79-O79</f>
        <v>1.3000000000000012E-2</v>
      </c>
      <c r="P80" s="139" t="s">
        <v>109</v>
      </c>
      <c r="S80" s="133" t="s">
        <v>3</v>
      </c>
      <c r="T80" s="135">
        <f t="array" ref="T80">SQRT(MMULT(MMULT(TRANSPOSE(T67:T77),'Risk Stats for Calcs (orig ord)'!$O$3:$Y$13),T67:T77))</f>
        <v>9.9999120307146649E-3</v>
      </c>
      <c r="U80" s="1"/>
      <c r="V80" s="131" t="s">
        <v>42</v>
      </c>
      <c r="W80" s="132" t="s">
        <v>42</v>
      </c>
    </row>
    <row r="81" spans="1:43" x14ac:dyDescent="0.35">
      <c r="A81" s="36"/>
      <c r="B81" s="36"/>
      <c r="C81" s="36"/>
      <c r="D81" s="36"/>
      <c r="E81" s="38"/>
      <c r="F81" s="37"/>
      <c r="G81" s="36"/>
      <c r="H81" s="36"/>
      <c r="I81" s="37"/>
      <c r="J81" s="37"/>
      <c r="K81" s="37"/>
      <c r="L81" s="37"/>
      <c r="M81" s="36"/>
      <c r="N81" s="36"/>
      <c r="O81" s="36"/>
      <c r="P81" s="62"/>
      <c r="Q81" s="36"/>
      <c r="R81" s="36"/>
      <c r="S81" s="36"/>
      <c r="T81" s="36"/>
      <c r="U81" s="36"/>
      <c r="V81" s="36"/>
      <c r="W81" s="36"/>
      <c r="X81" s="36"/>
      <c r="Y81" s="36"/>
      <c r="Z81" s="36"/>
      <c r="AA81" s="36"/>
      <c r="AB81" s="36"/>
      <c r="AC81" s="36"/>
      <c r="AD81" s="36"/>
      <c r="AE81" s="36"/>
      <c r="AF81" s="36"/>
      <c r="AG81" s="36"/>
      <c r="AH81" s="36"/>
    </row>
    <row r="83" spans="1:43" ht="44" thickBot="1" x14ac:dyDescent="0.4">
      <c r="AK83" s="92" t="s">
        <v>132</v>
      </c>
      <c r="AL83" s="92" t="s">
        <v>33</v>
      </c>
      <c r="AM83" s="92" t="s">
        <v>146</v>
      </c>
      <c r="AN83" s="92" t="s">
        <v>100</v>
      </c>
      <c r="AO83" s="92" t="s">
        <v>147</v>
      </c>
      <c r="AP83" s="75" t="s">
        <v>94</v>
      </c>
      <c r="AQ83" s="75" t="s">
        <v>131</v>
      </c>
    </row>
    <row r="84" spans="1:43" x14ac:dyDescent="0.35">
      <c r="AK84" s="47">
        <v>2.4999999999999994E-2</v>
      </c>
      <c r="AL84" s="150">
        <v>0</v>
      </c>
      <c r="AM84" s="47">
        <v>1.999999999999999E-2</v>
      </c>
      <c r="AN84" s="47">
        <v>1.3999999999999999E-2</v>
      </c>
      <c r="AO84" s="47">
        <v>1.999999999999999E-2</v>
      </c>
      <c r="AP84" s="121" t="s">
        <v>128</v>
      </c>
      <c r="AQ84" s="162" t="s">
        <v>148</v>
      </c>
    </row>
    <row r="85" spans="1:43" x14ac:dyDescent="0.35">
      <c r="AK85" s="119">
        <v>-2.6000000000000009E-2</v>
      </c>
      <c r="AL85" s="151">
        <v>0</v>
      </c>
      <c r="AM85" s="119">
        <v>-2.0000000000000004E-2</v>
      </c>
      <c r="AN85" s="119">
        <v>-1.4000000000000012E-2</v>
      </c>
      <c r="AO85" s="119">
        <v>-2.0000000000000004E-2</v>
      </c>
      <c r="AP85" s="123" t="s">
        <v>129</v>
      </c>
      <c r="AQ85" s="163"/>
    </row>
    <row r="86" spans="1:43" x14ac:dyDescent="0.35">
      <c r="AK86" s="47">
        <v>7.599999999999997E-2</v>
      </c>
      <c r="AL86" s="150">
        <v>0</v>
      </c>
      <c r="AM86" s="47">
        <v>6.7999999999999977E-2</v>
      </c>
      <c r="AN86" s="47">
        <v>5.1000000000000004E-2</v>
      </c>
      <c r="AO86" s="47">
        <v>4.5961699999999994E-2</v>
      </c>
      <c r="AP86" s="121" t="s">
        <v>130</v>
      </c>
      <c r="AQ86" s="121" t="s">
        <v>149</v>
      </c>
    </row>
    <row r="87" spans="1:43" x14ac:dyDescent="0.35">
      <c r="AK87" s="47">
        <v>1.3000000000000012E-2</v>
      </c>
      <c r="AL87" s="58">
        <v>0</v>
      </c>
      <c r="AM87" s="58">
        <v>0</v>
      </c>
      <c r="AN87" s="58">
        <v>0</v>
      </c>
      <c r="AO87" s="58">
        <v>0</v>
      </c>
      <c r="AP87" t="s">
        <v>150</v>
      </c>
    </row>
    <row r="88" spans="1:43" x14ac:dyDescent="0.35">
      <c r="AK88" s="119">
        <v>1.8366675698196468E-2</v>
      </c>
      <c r="AL88" s="151">
        <v>0</v>
      </c>
      <c r="AM88" s="119">
        <v>1.6665116627769695E-2</v>
      </c>
      <c r="AN88" s="119">
        <v>1.3038848040902069E-2</v>
      </c>
      <c r="AO88" s="119">
        <v>9.9999120307146649E-3</v>
      </c>
      <c r="AP88" s="123" t="s">
        <v>90</v>
      </c>
      <c r="AQ88" s="123" t="s">
        <v>149</v>
      </c>
    </row>
    <row r="89" spans="1:43" x14ac:dyDescent="0.35">
      <c r="AK89" s="1"/>
      <c r="AL89" s="1">
        <v>10</v>
      </c>
      <c r="AM89" s="152">
        <v>4</v>
      </c>
      <c r="AN89" s="1">
        <v>7</v>
      </c>
      <c r="AO89" s="1">
        <v>8</v>
      </c>
      <c r="AP89" s="147" t="s">
        <v>92</v>
      </c>
      <c r="AQ89" s="147" t="s">
        <v>151</v>
      </c>
    </row>
    <row r="90" spans="1:43" x14ac:dyDescent="0.35">
      <c r="AK90" s="148"/>
      <c r="AL90" s="148">
        <v>12400</v>
      </c>
      <c r="AM90" s="153">
        <v>1300</v>
      </c>
      <c r="AN90" s="148">
        <v>4100</v>
      </c>
      <c r="AO90" s="148">
        <v>3661.6699999999996</v>
      </c>
      <c r="AP90" s="78" t="s">
        <v>139</v>
      </c>
      <c r="AQ90" s="78" t="s">
        <v>152</v>
      </c>
    </row>
    <row r="91" spans="1:43" x14ac:dyDescent="0.35">
      <c r="AK91" s="18">
        <v>0.69499999999999995</v>
      </c>
      <c r="AL91" s="18">
        <v>0.7</v>
      </c>
      <c r="AM91" s="18">
        <v>0.69799999999999995</v>
      </c>
      <c r="AN91" s="18">
        <v>0.7</v>
      </c>
      <c r="AO91" s="18">
        <v>0.70007739999999996</v>
      </c>
      <c r="AP91" s="121" t="s">
        <v>144</v>
      </c>
      <c r="AQ91" s="164" t="s">
        <v>153</v>
      </c>
    </row>
    <row r="92" spans="1:43" x14ac:dyDescent="0.35">
      <c r="AK92" s="142">
        <v>0.30500000000000005</v>
      </c>
      <c r="AL92" s="142">
        <v>0.30000000000000004</v>
      </c>
      <c r="AM92" s="142">
        <v>0.30200000000000005</v>
      </c>
      <c r="AN92" s="142">
        <v>0.30000000000000004</v>
      </c>
      <c r="AO92" s="142">
        <v>0.29992259999999998</v>
      </c>
      <c r="AP92" s="121" t="s">
        <v>145</v>
      </c>
      <c r="AQ92" s="165"/>
    </row>
    <row r="93" spans="1:43" x14ac:dyDescent="0.35">
      <c r="AK93" s="124"/>
      <c r="AL93" s="149"/>
      <c r="AM93" s="149"/>
      <c r="AN93" s="149"/>
      <c r="AO93" s="149"/>
      <c r="AP93" s="121"/>
      <c r="AQ93" s="121"/>
    </row>
  </sheetData>
  <sortState ref="B3:P13">
    <sortCondition ref="J3:J13"/>
  </sortState>
  <mergeCells count="2">
    <mergeCell ref="AQ84:AQ85"/>
    <mergeCell ref="AQ91:AQ92"/>
  </mergeCells>
  <conditionalFormatting sqref="Q1:Q7 Q32:Q33 Q46 Q49 Q62 Q65 Q81:Q1048576 Q67:Q78 Q10:Q30">
    <cfRule type="cellIs" dxfId="8" priority="10" operator="equal">
      <formula>0</formula>
    </cfRule>
  </conditionalFormatting>
  <conditionalFormatting sqref="Q35:Q45">
    <cfRule type="cellIs" dxfId="7" priority="9" operator="equal">
      <formula>0</formula>
    </cfRule>
  </conditionalFormatting>
  <conditionalFormatting sqref="Q51:Q61">
    <cfRule type="cellIs" dxfId="6" priority="7" operator="equal">
      <formula>0</formula>
    </cfRule>
  </conditionalFormatting>
  <conditionalFormatting sqref="Q48">
    <cfRule type="cellIs" dxfId="5" priority="6" operator="equal">
      <formula>0</formula>
    </cfRule>
  </conditionalFormatting>
  <conditionalFormatting sqref="Q64">
    <cfRule type="cellIs" dxfId="4" priority="5" operator="equal">
      <formula>0</formula>
    </cfRule>
  </conditionalFormatting>
  <conditionalFormatting sqref="Q80">
    <cfRule type="cellIs" dxfId="3" priority="4" operator="equal">
      <formula>0</formula>
    </cfRule>
  </conditionalFormatting>
  <conditionalFormatting sqref="Q34">
    <cfRule type="cellIs" dxfId="2" priority="3" operator="equal">
      <formula>0</formula>
    </cfRule>
  </conditionalFormatting>
  <conditionalFormatting sqref="Q50">
    <cfRule type="cellIs" dxfId="1" priority="2" operator="equal">
      <formula>0</formula>
    </cfRule>
  </conditionalFormatting>
  <conditionalFormatting sqref="Q66">
    <cfRule type="cellIs" dxfId="0"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8"/>
  <sheetViews>
    <sheetView zoomScale="115" zoomScaleNormal="115" workbookViewId="0">
      <selection activeCell="Q28" sqref="Q28"/>
    </sheetView>
  </sheetViews>
  <sheetFormatPr defaultRowHeight="14.5" x14ac:dyDescent="0.35"/>
  <cols>
    <col min="1" max="1" width="33.54296875" bestFit="1" customWidth="1"/>
    <col min="2" max="2" width="11.81640625" customWidth="1"/>
  </cols>
  <sheetData>
    <row r="1" spans="1:25" ht="48" customHeight="1" x14ac:dyDescent="0.35">
      <c r="A1" s="78"/>
      <c r="B1" s="80" t="s">
        <v>77</v>
      </c>
      <c r="C1" s="79" t="s">
        <v>70</v>
      </c>
      <c r="D1" s="79" t="s">
        <v>71</v>
      </c>
      <c r="E1" s="79" t="s">
        <v>14</v>
      </c>
      <c r="F1" s="79" t="s">
        <v>72</v>
      </c>
      <c r="G1" s="79" t="s">
        <v>73</v>
      </c>
      <c r="H1" s="79" t="s">
        <v>74</v>
      </c>
      <c r="I1" s="79" t="s">
        <v>75</v>
      </c>
      <c r="J1" s="79" t="s">
        <v>7</v>
      </c>
      <c r="K1" s="79" t="s">
        <v>9</v>
      </c>
      <c r="L1" s="79" t="s">
        <v>11</v>
      </c>
      <c r="M1" s="79" t="s">
        <v>76</v>
      </c>
      <c r="O1" s="66" t="s">
        <v>70</v>
      </c>
      <c r="P1" s="66" t="s">
        <v>71</v>
      </c>
      <c r="Q1" s="66" t="s">
        <v>14</v>
      </c>
      <c r="R1" s="66" t="s">
        <v>72</v>
      </c>
      <c r="S1" s="66" t="s">
        <v>73</v>
      </c>
      <c r="T1" s="66" t="s">
        <v>74</v>
      </c>
      <c r="U1" s="66" t="s">
        <v>75</v>
      </c>
      <c r="V1" s="66" t="s">
        <v>7</v>
      </c>
      <c r="W1" s="66" t="s">
        <v>9</v>
      </c>
      <c r="X1" s="66" t="s">
        <v>11</v>
      </c>
      <c r="Y1" s="66" t="s">
        <v>76</v>
      </c>
    </row>
    <row r="2" spans="1:25" x14ac:dyDescent="0.35">
      <c r="B2" s="16"/>
      <c r="C2" s="82">
        <v>23.69</v>
      </c>
      <c r="D2" s="82">
        <v>38.39</v>
      </c>
      <c r="E2" s="82">
        <v>30.16</v>
      </c>
      <c r="F2" s="82">
        <v>84.12</v>
      </c>
      <c r="G2" s="82">
        <v>20.74</v>
      </c>
      <c r="H2" s="82">
        <v>22.12</v>
      </c>
      <c r="I2" s="82">
        <v>39.22</v>
      </c>
      <c r="J2" s="82">
        <v>9.26</v>
      </c>
      <c r="K2" s="82">
        <v>6.12</v>
      </c>
      <c r="L2" s="82">
        <v>5.09</v>
      </c>
      <c r="M2" s="82">
        <v>0.4</v>
      </c>
    </row>
    <row r="3" spans="1:25" x14ac:dyDescent="0.35">
      <c r="A3" t="s">
        <v>70</v>
      </c>
      <c r="B3" s="81">
        <v>23.69</v>
      </c>
      <c r="C3" s="67">
        <v>1</v>
      </c>
      <c r="D3" s="65">
        <v>0.67707644140000001</v>
      </c>
      <c r="E3" s="65">
        <v>0.393910072</v>
      </c>
      <c r="F3" s="65">
        <v>0.69009107140000003</v>
      </c>
      <c r="G3" s="65">
        <v>0.44383525340000002</v>
      </c>
      <c r="H3" s="65">
        <v>0.35247609990000001</v>
      </c>
      <c r="I3" s="65">
        <v>0.24395313499999999</v>
      </c>
      <c r="J3" s="65">
        <v>0.62536906729999997</v>
      </c>
      <c r="K3" s="65">
        <v>0.56563848299999997</v>
      </c>
      <c r="L3" s="65">
        <v>0.43524278659999999</v>
      </c>
      <c r="M3" s="65">
        <v>-0.19679121820000001</v>
      </c>
      <c r="N3" s="64"/>
      <c r="O3" s="83">
        <f t="shared" ref="O3:O13" si="0">C3*$B3*C$2/10000</f>
        <v>5.6121610000000009E-2</v>
      </c>
      <c r="P3" s="83">
        <f t="shared" ref="P3:P13" si="1">D3*$B3*D$2/10000</f>
        <v>6.1577333102684678E-2</v>
      </c>
      <c r="Q3" s="83">
        <f t="shared" ref="Q3:Q13" si="2">E3*$B3*E$2/10000</f>
        <v>2.8144496490730881E-2</v>
      </c>
      <c r="R3" s="83">
        <f t="shared" ref="R3:R13" si="3">F3*$B3*F$2/10000</f>
        <v>0.13752154193409202</v>
      </c>
      <c r="S3" s="83">
        <f t="shared" ref="S3:S13" si="4">G3*$B3*G$2/10000</f>
        <v>2.1806984135417404E-2</v>
      </c>
      <c r="T3" s="83">
        <f t="shared" ref="T3:T13" si="5">H3*$B3*H$2/10000</f>
        <v>1.8470551280267773E-2</v>
      </c>
      <c r="U3" s="83">
        <f t="shared" ref="U3:U13" si="6">I3*$B3*I$2/10000</f>
        <v>2.2666217590684299E-2</v>
      </c>
      <c r="V3" s="83">
        <f t="shared" ref="V3:V13" si="7">J3*$B3*J$2/10000</f>
        <v>1.3718683707216061E-2</v>
      </c>
      <c r="W3" s="83">
        <f t="shared" ref="W3:W13" si="8">K3*$B3*K$2/10000</f>
        <v>8.2007851053092409E-3</v>
      </c>
      <c r="X3" s="83">
        <f t="shared" ref="X3:X13" si="9">L3*$B3*L$2/10000</f>
        <v>5.2482489218079855E-3</v>
      </c>
      <c r="Y3" s="83">
        <f t="shared" ref="Y3:Y13" si="10">M3*$B3*M$2/10000</f>
        <v>-1.8647935836632002E-4</v>
      </c>
    </row>
    <row r="4" spans="1:25" x14ac:dyDescent="0.35">
      <c r="A4" t="s">
        <v>71</v>
      </c>
      <c r="B4" s="81">
        <v>38.39</v>
      </c>
      <c r="C4" s="65">
        <v>0.67707644140000001</v>
      </c>
      <c r="D4" s="67">
        <v>1</v>
      </c>
      <c r="E4" s="65">
        <v>0.19478482150000001</v>
      </c>
      <c r="F4" s="65">
        <v>0.71703543820000004</v>
      </c>
      <c r="G4" s="65">
        <v>0.35151122509999999</v>
      </c>
      <c r="H4" s="65">
        <v>0.1187331829</v>
      </c>
      <c r="I4" s="65">
        <v>0.14723960790000001</v>
      </c>
      <c r="J4" s="65">
        <v>0.59486055449999997</v>
      </c>
      <c r="K4" s="65">
        <v>0.57637839580000005</v>
      </c>
      <c r="L4" s="65">
        <v>0.50709622769999996</v>
      </c>
      <c r="M4" s="65">
        <v>-0.14279669740000001</v>
      </c>
      <c r="N4" s="64"/>
      <c r="O4" s="83">
        <f t="shared" si="0"/>
        <v>6.1577333102684678E-2</v>
      </c>
      <c r="P4" s="83">
        <f t="shared" si="1"/>
        <v>0.14737921000000001</v>
      </c>
      <c r="Q4" s="83">
        <f t="shared" si="2"/>
        <v>2.2553012520913164E-2</v>
      </c>
      <c r="R4" s="83">
        <f t="shared" si="3"/>
        <v>0.2315570438546532</v>
      </c>
      <c r="S4" s="83">
        <f t="shared" si="4"/>
        <v>2.7987626042115583E-2</v>
      </c>
      <c r="T4" s="83">
        <f t="shared" si="5"/>
        <v>1.0082665164066572E-2</v>
      </c>
      <c r="U4" s="83">
        <f t="shared" si="6"/>
        <v>2.2169216962436081E-2</v>
      </c>
      <c r="V4" s="83">
        <f t="shared" si="7"/>
        <v>2.1146781132398131E-2</v>
      </c>
      <c r="W4" s="83">
        <f t="shared" si="8"/>
        <v>1.3541825968234346E-2</v>
      </c>
      <c r="X4" s="83">
        <f t="shared" si="9"/>
        <v>9.9089189083341259E-3</v>
      </c>
      <c r="Y4" s="83">
        <f t="shared" si="10"/>
        <v>-2.1927860852744002E-4</v>
      </c>
    </row>
    <row r="5" spans="1:25" x14ac:dyDescent="0.35">
      <c r="A5" t="s">
        <v>14</v>
      </c>
      <c r="B5" s="81">
        <v>30.16</v>
      </c>
      <c r="C5" s="65">
        <v>0.393910072</v>
      </c>
      <c r="D5" s="65">
        <v>0.19478482150000001</v>
      </c>
      <c r="E5" s="67">
        <v>1</v>
      </c>
      <c r="F5" s="65">
        <v>0.30294690499999999</v>
      </c>
      <c r="G5" s="65">
        <v>0.17749467590000001</v>
      </c>
      <c r="H5" s="65">
        <v>0.39009903239999999</v>
      </c>
      <c r="I5" s="65">
        <v>0.67865884529999998</v>
      </c>
      <c r="J5" s="65">
        <v>0.56744688379999997</v>
      </c>
      <c r="K5" s="65">
        <v>0.31068912329999998</v>
      </c>
      <c r="L5" s="65">
        <v>0.1183872405</v>
      </c>
      <c r="M5" s="65">
        <v>-9.1203591299999998E-2</v>
      </c>
      <c r="N5" s="64"/>
      <c r="O5" s="83">
        <f t="shared" si="0"/>
        <v>2.8144496490730881E-2</v>
      </c>
      <c r="P5" s="83">
        <f t="shared" si="1"/>
        <v>2.2553012520913164E-2</v>
      </c>
      <c r="Q5" s="83">
        <f t="shared" si="2"/>
        <v>9.0962559999999998E-2</v>
      </c>
      <c r="R5" s="83">
        <f t="shared" si="3"/>
        <v>7.6859423244177605E-2</v>
      </c>
      <c r="S5" s="83">
        <f t="shared" si="4"/>
        <v>1.1102618567748655E-2</v>
      </c>
      <c r="T5" s="83">
        <f t="shared" si="5"/>
        <v>2.6025035639611008E-2</v>
      </c>
      <c r="U5" s="83">
        <f t="shared" si="6"/>
        <v>8.0276871736600655E-2</v>
      </c>
      <c r="V5" s="83">
        <f t="shared" si="7"/>
        <v>1.5847747362267808E-2</v>
      </c>
      <c r="W5" s="83">
        <f t="shared" si="8"/>
        <v>5.7346749827415352E-3</v>
      </c>
      <c r="X5" s="83">
        <f t="shared" si="9"/>
        <v>1.8174146193013201E-3</v>
      </c>
      <c r="Y5" s="83">
        <f t="shared" si="10"/>
        <v>-1.1002801254432002E-4</v>
      </c>
    </row>
    <row r="6" spans="1:25" x14ac:dyDescent="0.35">
      <c r="A6" t="s">
        <v>72</v>
      </c>
      <c r="B6" s="81">
        <v>84.12</v>
      </c>
      <c r="C6" s="65">
        <v>0.69009107140000003</v>
      </c>
      <c r="D6" s="65">
        <v>0.71703543820000004</v>
      </c>
      <c r="E6" s="65">
        <v>0.30294690499999999</v>
      </c>
      <c r="F6" s="67">
        <v>1</v>
      </c>
      <c r="G6" s="65">
        <v>0.43477399639999997</v>
      </c>
      <c r="H6" s="65">
        <v>0.1868635733</v>
      </c>
      <c r="I6" s="65">
        <v>0.19470880309999999</v>
      </c>
      <c r="J6" s="65">
        <v>0.43050219509999998</v>
      </c>
      <c r="K6" s="65">
        <v>0.24651978939999999</v>
      </c>
      <c r="L6" s="65">
        <v>0.1297518376</v>
      </c>
      <c r="M6" s="65">
        <v>-0.2419515065</v>
      </c>
      <c r="N6" s="64"/>
      <c r="O6" s="83">
        <f t="shared" si="0"/>
        <v>0.13752154193409202</v>
      </c>
      <c r="P6" s="83">
        <f t="shared" si="1"/>
        <v>0.2315570438546532</v>
      </c>
      <c r="Q6" s="83">
        <f t="shared" si="2"/>
        <v>7.6859423244177591E-2</v>
      </c>
      <c r="R6" s="83">
        <f t="shared" si="3"/>
        <v>0.70761744000000004</v>
      </c>
      <c r="S6" s="83">
        <f t="shared" si="4"/>
        <v>7.5852793109046426E-2</v>
      </c>
      <c r="T6" s="83">
        <f t="shared" si="5"/>
        <v>3.4770347894623153E-2</v>
      </c>
      <c r="U6" s="83">
        <f t="shared" si="6"/>
        <v>6.4238063514779772E-2</v>
      </c>
      <c r="V6" s="83">
        <f t="shared" si="7"/>
        <v>3.353402014757792E-2</v>
      </c>
      <c r="W6" s="83">
        <f t="shared" si="8"/>
        <v>1.2691193746808738E-2</v>
      </c>
      <c r="X6" s="83">
        <f t="shared" si="9"/>
        <v>5.5555948106662083E-3</v>
      </c>
      <c r="Y6" s="83">
        <f t="shared" si="10"/>
        <v>-8.1411842907120008E-4</v>
      </c>
    </row>
    <row r="7" spans="1:25" x14ac:dyDescent="0.35">
      <c r="A7" t="s">
        <v>73</v>
      </c>
      <c r="B7" s="81">
        <v>20.74</v>
      </c>
      <c r="C7" s="65">
        <v>0.44383525340000002</v>
      </c>
      <c r="D7" s="65">
        <v>0.35151122509999999</v>
      </c>
      <c r="E7" s="65">
        <v>0.17749467590000001</v>
      </c>
      <c r="F7" s="65">
        <v>0.43477399639999997</v>
      </c>
      <c r="G7" s="67">
        <v>1</v>
      </c>
      <c r="H7" s="65">
        <v>0.3975307709</v>
      </c>
      <c r="I7" s="65">
        <v>2.4153084599999999E-2</v>
      </c>
      <c r="J7" s="65">
        <v>0.155352131</v>
      </c>
      <c r="K7" s="65">
        <v>0.1465012805</v>
      </c>
      <c r="L7" s="65">
        <v>0.13438473619999999</v>
      </c>
      <c r="M7" s="65">
        <v>-5.7102218E-3</v>
      </c>
      <c r="N7" s="64"/>
      <c r="O7" s="83">
        <f t="shared" si="0"/>
        <v>2.1806984135417404E-2</v>
      </c>
      <c r="P7" s="83">
        <f t="shared" si="1"/>
        <v>2.7987626042115583E-2</v>
      </c>
      <c r="Q7" s="83">
        <f t="shared" si="2"/>
        <v>1.1102618567748657E-2</v>
      </c>
      <c r="R7" s="83">
        <f t="shared" si="3"/>
        <v>7.5852793109046426E-2</v>
      </c>
      <c r="S7" s="83">
        <f t="shared" si="4"/>
        <v>4.3014759999999992E-2</v>
      </c>
      <c r="T7" s="83">
        <f t="shared" si="5"/>
        <v>1.8237471472886794E-2</v>
      </c>
      <c r="U7" s="83">
        <f t="shared" si="6"/>
        <v>1.9646669703968877E-3</v>
      </c>
      <c r="V7" s="83">
        <f t="shared" si="7"/>
        <v>2.9835749603664397E-3</v>
      </c>
      <c r="W7" s="83">
        <f t="shared" si="8"/>
        <v>1.85952317323284E-3</v>
      </c>
      <c r="X7" s="83">
        <f t="shared" si="9"/>
        <v>1.4186539692530918E-3</v>
      </c>
      <c r="Y7" s="83">
        <f t="shared" si="10"/>
        <v>-4.7372000052799995E-6</v>
      </c>
    </row>
    <row r="8" spans="1:25" x14ac:dyDescent="0.35">
      <c r="A8" t="s">
        <v>74</v>
      </c>
      <c r="B8" s="81">
        <v>22.12</v>
      </c>
      <c r="C8" s="65">
        <v>0.35247609990000001</v>
      </c>
      <c r="D8" s="65">
        <v>0.1187331829</v>
      </c>
      <c r="E8" s="65">
        <v>0.39009903239999999</v>
      </c>
      <c r="F8" s="65">
        <v>0.1868635733</v>
      </c>
      <c r="G8" s="65">
        <v>0.3975307709</v>
      </c>
      <c r="H8" s="67">
        <v>1</v>
      </c>
      <c r="I8" s="65">
        <v>0.28316589559999999</v>
      </c>
      <c r="J8" s="65">
        <v>0.27567631069999998</v>
      </c>
      <c r="K8" s="65">
        <v>0.23146450739999999</v>
      </c>
      <c r="L8" s="65">
        <v>0.20288246300000001</v>
      </c>
      <c r="M8" s="65">
        <v>-0.28045832799999998</v>
      </c>
      <c r="N8" s="64"/>
      <c r="O8" s="83">
        <f t="shared" si="0"/>
        <v>1.8470551280267773E-2</v>
      </c>
      <c r="P8" s="83">
        <f t="shared" si="1"/>
        <v>1.0082665164066572E-2</v>
      </c>
      <c r="Q8" s="83">
        <f t="shared" si="2"/>
        <v>2.6025035639611008E-2</v>
      </c>
      <c r="R8" s="83">
        <f t="shared" si="3"/>
        <v>3.477034789462316E-2</v>
      </c>
      <c r="S8" s="83">
        <f t="shared" si="4"/>
        <v>1.8237471472886794E-2</v>
      </c>
      <c r="T8" s="83">
        <f t="shared" si="5"/>
        <v>4.8929440000000005E-2</v>
      </c>
      <c r="U8" s="83">
        <f t="shared" si="6"/>
        <v>2.4565955333055584E-2</v>
      </c>
      <c r="V8" s="83">
        <f t="shared" si="7"/>
        <v>5.6467109532253841E-3</v>
      </c>
      <c r="W8" s="83">
        <f t="shared" si="8"/>
        <v>3.1334368810570562E-3</v>
      </c>
      <c r="X8" s="83">
        <f t="shared" si="9"/>
        <v>2.2842698815140404E-3</v>
      </c>
      <c r="Y8" s="83">
        <f t="shared" si="10"/>
        <v>-2.481495286144E-4</v>
      </c>
    </row>
    <row r="9" spans="1:25" x14ac:dyDescent="0.35">
      <c r="A9" t="s">
        <v>75</v>
      </c>
      <c r="B9" s="81">
        <v>39.22</v>
      </c>
      <c r="C9" s="65">
        <v>0.24395313499999999</v>
      </c>
      <c r="D9" s="65">
        <v>0.14723960790000001</v>
      </c>
      <c r="E9" s="65">
        <v>0.67865884529999998</v>
      </c>
      <c r="F9" s="65">
        <v>0.19470880309999999</v>
      </c>
      <c r="G9" s="65">
        <v>2.4153084599999999E-2</v>
      </c>
      <c r="H9" s="65">
        <v>0.28316589559999999</v>
      </c>
      <c r="I9" s="67">
        <v>1</v>
      </c>
      <c r="J9" s="65">
        <v>0.33866609489999999</v>
      </c>
      <c r="K9" s="65">
        <v>8.3184087599999998E-2</v>
      </c>
      <c r="L9" s="65">
        <v>-0.12468922540000001</v>
      </c>
      <c r="M9" s="65">
        <v>-0.25525974089999998</v>
      </c>
      <c r="N9" s="64"/>
      <c r="O9" s="83">
        <f t="shared" si="0"/>
        <v>2.2666217590684299E-2</v>
      </c>
      <c r="P9" s="83">
        <f t="shared" si="1"/>
        <v>2.2169216962436081E-2</v>
      </c>
      <c r="Q9" s="83">
        <f t="shared" si="2"/>
        <v>8.0276871736600655E-2</v>
      </c>
      <c r="R9" s="83">
        <f t="shared" si="3"/>
        <v>6.4238063514779786E-2</v>
      </c>
      <c r="S9" s="83">
        <f t="shared" si="4"/>
        <v>1.9646669703968877E-3</v>
      </c>
      <c r="T9" s="83">
        <f t="shared" si="5"/>
        <v>2.4565955333055584E-2</v>
      </c>
      <c r="U9" s="83">
        <f t="shared" si="6"/>
        <v>0.15382083999999999</v>
      </c>
      <c r="V9" s="83">
        <f t="shared" si="7"/>
        <v>1.2299580408071626E-2</v>
      </c>
      <c r="W9" s="83">
        <f t="shared" si="8"/>
        <v>1.9966377083912639E-3</v>
      </c>
      <c r="X9" s="83">
        <f t="shared" si="9"/>
        <v>-2.4891685128756924E-3</v>
      </c>
      <c r="Y9" s="83">
        <f t="shared" si="10"/>
        <v>-4.0045148152391999E-4</v>
      </c>
    </row>
    <row r="10" spans="1:25" x14ac:dyDescent="0.35">
      <c r="A10" t="s">
        <v>7</v>
      </c>
      <c r="B10" s="81">
        <v>9.26</v>
      </c>
      <c r="C10" s="65">
        <v>0.62536906729999997</v>
      </c>
      <c r="D10" s="65">
        <v>0.59486055449999997</v>
      </c>
      <c r="E10" s="65">
        <v>0.56744688379999997</v>
      </c>
      <c r="F10" s="65">
        <v>0.43050219509999998</v>
      </c>
      <c r="G10" s="65">
        <v>0.155352131</v>
      </c>
      <c r="H10" s="65">
        <v>0.27567631069999998</v>
      </c>
      <c r="I10" s="65">
        <v>0.33866609489999999</v>
      </c>
      <c r="J10" s="67">
        <v>1</v>
      </c>
      <c r="K10" s="65">
        <v>0.75238576069999996</v>
      </c>
      <c r="L10" s="65">
        <v>0.60467914970000003</v>
      </c>
      <c r="M10" s="65">
        <v>-0.14854977599999999</v>
      </c>
      <c r="N10" s="64"/>
      <c r="O10" s="83">
        <f t="shared" si="0"/>
        <v>1.3718683707216061E-2</v>
      </c>
      <c r="P10" s="83">
        <f t="shared" si="1"/>
        <v>2.1146781132398131E-2</v>
      </c>
      <c r="Q10" s="83">
        <f t="shared" si="2"/>
        <v>1.5847747362267808E-2</v>
      </c>
      <c r="R10" s="83">
        <f t="shared" si="3"/>
        <v>3.3534020147577913E-2</v>
      </c>
      <c r="S10" s="83">
        <f t="shared" si="4"/>
        <v>2.9835749603664401E-3</v>
      </c>
      <c r="T10" s="83">
        <f t="shared" si="5"/>
        <v>5.6467109532253833E-3</v>
      </c>
      <c r="U10" s="83">
        <f t="shared" si="6"/>
        <v>1.2299580408071626E-2</v>
      </c>
      <c r="V10" s="83">
        <f t="shared" si="7"/>
        <v>8.574759999999999E-3</v>
      </c>
      <c r="W10" s="83">
        <f t="shared" si="8"/>
        <v>4.2638603921781836E-3</v>
      </c>
      <c r="X10" s="83">
        <f t="shared" si="9"/>
        <v>2.8500584234469979E-3</v>
      </c>
      <c r="Y10" s="83">
        <f t="shared" si="10"/>
        <v>-5.5022837030399998E-5</v>
      </c>
    </row>
    <row r="11" spans="1:25" x14ac:dyDescent="0.35">
      <c r="A11" t="s">
        <v>9</v>
      </c>
      <c r="B11" s="81">
        <v>6.12</v>
      </c>
      <c r="C11" s="65">
        <v>0.56563848299999997</v>
      </c>
      <c r="D11" s="65">
        <v>0.57637839580000005</v>
      </c>
      <c r="E11" s="65">
        <v>0.31068912329999998</v>
      </c>
      <c r="F11" s="65">
        <v>0.24651978939999999</v>
      </c>
      <c r="G11" s="65">
        <v>0.1465012805</v>
      </c>
      <c r="H11" s="65">
        <v>0.23146450739999999</v>
      </c>
      <c r="I11" s="65">
        <v>8.3184087599999998E-2</v>
      </c>
      <c r="J11" s="65">
        <v>0.75238576069999996</v>
      </c>
      <c r="K11" s="67">
        <v>1</v>
      </c>
      <c r="L11" s="65">
        <v>0.91565539080000002</v>
      </c>
      <c r="M11" s="65">
        <v>4.6169795499999999E-2</v>
      </c>
      <c r="N11" s="64"/>
      <c r="O11" s="83">
        <f t="shared" si="0"/>
        <v>8.2007851053092391E-3</v>
      </c>
      <c r="P11" s="83">
        <f t="shared" si="1"/>
        <v>1.3541825968234346E-2</v>
      </c>
      <c r="Q11" s="83">
        <f t="shared" si="2"/>
        <v>5.7346749827415361E-3</v>
      </c>
      <c r="R11" s="83">
        <f t="shared" si="3"/>
        <v>1.2691193746808736E-2</v>
      </c>
      <c r="S11" s="83">
        <f t="shared" si="4"/>
        <v>1.8595231732328396E-3</v>
      </c>
      <c r="T11" s="83">
        <f t="shared" si="5"/>
        <v>3.1334368810570562E-3</v>
      </c>
      <c r="U11" s="83">
        <f t="shared" si="6"/>
        <v>1.9966377083912639E-3</v>
      </c>
      <c r="V11" s="83">
        <f t="shared" si="7"/>
        <v>4.2638603921781836E-3</v>
      </c>
      <c r="W11" s="83">
        <f t="shared" si="8"/>
        <v>3.7454400000000001E-3</v>
      </c>
      <c r="X11" s="83">
        <f t="shared" si="9"/>
        <v>2.8523397947732639E-3</v>
      </c>
      <c r="Y11" s="83">
        <f t="shared" si="10"/>
        <v>1.1302365938400001E-5</v>
      </c>
    </row>
    <row r="12" spans="1:25" x14ac:dyDescent="0.35">
      <c r="A12" t="s">
        <v>11</v>
      </c>
      <c r="B12" s="81">
        <v>5.09</v>
      </c>
      <c r="C12" s="65">
        <v>0.43524278659999999</v>
      </c>
      <c r="D12" s="65">
        <v>0.50709622769999996</v>
      </c>
      <c r="E12" s="65">
        <v>0.1183872405</v>
      </c>
      <c r="F12" s="65">
        <v>0.1297518376</v>
      </c>
      <c r="G12" s="65">
        <v>0.13438473619999999</v>
      </c>
      <c r="H12" s="65">
        <v>0.20288246300000001</v>
      </c>
      <c r="I12" s="65">
        <v>-0.12468922540000001</v>
      </c>
      <c r="J12" s="65">
        <v>0.60467914970000003</v>
      </c>
      <c r="K12" s="65">
        <v>0.91565539080000002</v>
      </c>
      <c r="L12" s="67">
        <v>1</v>
      </c>
      <c r="M12" s="65">
        <v>9.8172812700000001E-2</v>
      </c>
      <c r="N12" s="64"/>
      <c r="O12" s="83">
        <f t="shared" si="0"/>
        <v>5.2482489218079863E-3</v>
      </c>
      <c r="P12" s="83">
        <f t="shared" si="1"/>
        <v>9.9089189083341276E-3</v>
      </c>
      <c r="Q12" s="83">
        <f t="shared" si="2"/>
        <v>1.8174146193013201E-3</v>
      </c>
      <c r="R12" s="83">
        <f t="shared" si="3"/>
        <v>5.5555948106662083E-3</v>
      </c>
      <c r="S12" s="83">
        <f t="shared" si="4"/>
        <v>1.4186539692530918E-3</v>
      </c>
      <c r="T12" s="83">
        <f t="shared" si="5"/>
        <v>2.2842698815140404E-3</v>
      </c>
      <c r="U12" s="83">
        <f t="shared" si="6"/>
        <v>-2.4891685128756919E-3</v>
      </c>
      <c r="V12" s="83">
        <f t="shared" si="7"/>
        <v>2.8500584234469979E-3</v>
      </c>
      <c r="W12" s="83">
        <f t="shared" si="8"/>
        <v>2.8523397947732639E-3</v>
      </c>
      <c r="X12" s="83">
        <f t="shared" si="9"/>
        <v>2.5908099999999998E-3</v>
      </c>
      <c r="Y12" s="83">
        <f t="shared" si="10"/>
        <v>1.9987984665720001E-5</v>
      </c>
    </row>
    <row r="13" spans="1:25" x14ac:dyDescent="0.35">
      <c r="A13" t="s">
        <v>76</v>
      </c>
      <c r="B13" s="81">
        <v>0.4</v>
      </c>
      <c r="C13" s="65">
        <v>-0.19679121820000001</v>
      </c>
      <c r="D13" s="65">
        <v>-0.14279669740000001</v>
      </c>
      <c r="E13" s="65">
        <v>-9.1203591299999998E-2</v>
      </c>
      <c r="F13" s="65">
        <v>-0.2419515065</v>
      </c>
      <c r="G13" s="65">
        <v>-5.7102218E-3</v>
      </c>
      <c r="H13" s="65">
        <v>-0.28045832799999998</v>
      </c>
      <c r="I13" s="65">
        <v>-0.25525974089999998</v>
      </c>
      <c r="J13" s="65">
        <v>-0.14854977599999999</v>
      </c>
      <c r="K13" s="65">
        <v>4.6169795499999999E-2</v>
      </c>
      <c r="L13" s="65">
        <v>9.8172812700000001E-2</v>
      </c>
      <c r="M13" s="67">
        <v>1</v>
      </c>
      <c r="N13" s="64"/>
      <c r="O13" s="83">
        <f t="shared" si="0"/>
        <v>-1.8647935836632005E-4</v>
      </c>
      <c r="P13" s="83">
        <f t="shared" si="1"/>
        <v>-2.1927860852744002E-4</v>
      </c>
      <c r="Q13" s="83">
        <f t="shared" si="2"/>
        <v>-1.1002801254431999E-4</v>
      </c>
      <c r="R13" s="83">
        <f t="shared" si="3"/>
        <v>-8.1411842907120008E-4</v>
      </c>
      <c r="S13" s="83">
        <f t="shared" si="4"/>
        <v>-4.7372000052800004E-6</v>
      </c>
      <c r="T13" s="83">
        <f t="shared" si="5"/>
        <v>-2.4814952861440005E-4</v>
      </c>
      <c r="U13" s="83">
        <f t="shared" si="6"/>
        <v>-4.0045148152391999E-4</v>
      </c>
      <c r="V13" s="83">
        <f t="shared" si="7"/>
        <v>-5.5022837030399998E-5</v>
      </c>
      <c r="W13" s="83">
        <f t="shared" si="8"/>
        <v>1.1302365938399999E-5</v>
      </c>
      <c r="X13" s="83">
        <f t="shared" si="9"/>
        <v>1.9987984665720001E-5</v>
      </c>
      <c r="Y13" s="83">
        <f t="shared" si="10"/>
        <v>1.6000000000000003E-5</v>
      </c>
    </row>
    <row r="14" spans="1:25" x14ac:dyDescent="0.35">
      <c r="O14" s="68"/>
      <c r="P14" s="68"/>
      <c r="Q14" s="68"/>
      <c r="R14" s="68"/>
      <c r="S14" s="68"/>
      <c r="T14" s="68"/>
      <c r="U14" s="68"/>
      <c r="V14" s="68"/>
      <c r="W14" s="68"/>
      <c r="X14" s="68"/>
      <c r="Y14" s="68"/>
    </row>
    <row r="15" spans="1:25" x14ac:dyDescent="0.35">
      <c r="I15" t="s">
        <v>111</v>
      </c>
    </row>
    <row r="16" spans="1:25" x14ac:dyDescent="0.35">
      <c r="A16" t="s">
        <v>107</v>
      </c>
      <c r="I16" t="s">
        <v>112</v>
      </c>
    </row>
    <row r="20" spans="1:1" x14ac:dyDescent="0.35">
      <c r="A20" s="8"/>
    </row>
    <row r="23" spans="1:1" x14ac:dyDescent="0.35">
      <c r="A23" s="8"/>
    </row>
    <row r="28" spans="1:1" x14ac:dyDescent="0.35">
      <c r="A28"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4"/>
  <sheetViews>
    <sheetView zoomScale="115" zoomScaleNormal="115" workbookViewId="0"/>
  </sheetViews>
  <sheetFormatPr defaultRowHeight="14.5" x14ac:dyDescent="0.35"/>
  <cols>
    <col min="1" max="1" width="33.54296875" bestFit="1" customWidth="1"/>
    <col min="2" max="2" width="11.81640625" customWidth="1"/>
  </cols>
  <sheetData>
    <row r="1" spans="1:27" ht="48" customHeight="1" x14ac:dyDescent="0.35">
      <c r="A1" s="78"/>
      <c r="B1" s="80" t="s">
        <v>77</v>
      </c>
      <c r="C1" s="79" t="s">
        <v>14</v>
      </c>
      <c r="D1" s="79" t="s">
        <v>70</v>
      </c>
      <c r="E1" s="79" t="s">
        <v>73</v>
      </c>
      <c r="F1" s="79" t="s">
        <v>9</v>
      </c>
      <c r="G1" s="79" t="s">
        <v>7</v>
      </c>
      <c r="H1" s="79" t="s">
        <v>75</v>
      </c>
      <c r="I1" s="79" t="s">
        <v>11</v>
      </c>
      <c r="J1" s="79" t="s">
        <v>76</v>
      </c>
      <c r="K1" s="79" t="s">
        <v>71</v>
      </c>
      <c r="L1" s="79" t="s">
        <v>72</v>
      </c>
      <c r="M1" s="79" t="s">
        <v>74</v>
      </c>
      <c r="O1" s="79" t="s">
        <v>14</v>
      </c>
      <c r="P1" s="79" t="s">
        <v>70</v>
      </c>
      <c r="Q1" s="79" t="s">
        <v>73</v>
      </c>
      <c r="R1" s="79" t="s">
        <v>9</v>
      </c>
      <c r="S1" s="79" t="s">
        <v>7</v>
      </c>
      <c r="T1" s="79" t="s">
        <v>75</v>
      </c>
      <c r="U1" s="79" t="s">
        <v>11</v>
      </c>
      <c r="V1" s="79" t="s">
        <v>76</v>
      </c>
      <c r="W1" s="79" t="s">
        <v>71</v>
      </c>
      <c r="X1" s="79" t="s">
        <v>72</v>
      </c>
      <c r="Y1" s="79" t="s">
        <v>74</v>
      </c>
    </row>
    <row r="2" spans="1:27" x14ac:dyDescent="0.35">
      <c r="B2" s="16"/>
      <c r="C2" s="82">
        <v>30.16</v>
      </c>
      <c r="D2" s="82">
        <v>23.69</v>
      </c>
      <c r="E2" s="82">
        <v>20.74</v>
      </c>
      <c r="F2" s="82">
        <v>6.12</v>
      </c>
      <c r="G2" s="82">
        <v>9.26</v>
      </c>
      <c r="H2" s="82">
        <v>39.22</v>
      </c>
      <c r="I2" s="82">
        <v>5.09</v>
      </c>
      <c r="J2" s="82">
        <v>0.4</v>
      </c>
      <c r="K2" s="82">
        <v>38.39</v>
      </c>
      <c r="L2" s="82">
        <v>84.12</v>
      </c>
      <c r="M2" s="82">
        <v>22.12</v>
      </c>
    </row>
    <row r="3" spans="1:27" x14ac:dyDescent="0.35">
      <c r="A3" t="s">
        <v>14</v>
      </c>
      <c r="B3" s="81">
        <v>30.16</v>
      </c>
      <c r="C3" s="67">
        <v>1</v>
      </c>
      <c r="D3" s="65">
        <v>0.393910072</v>
      </c>
      <c r="E3" s="65">
        <v>0.17749467590000001</v>
      </c>
      <c r="F3" s="65">
        <v>0.31068912329999998</v>
      </c>
      <c r="G3" s="65">
        <v>0.56744688379999997</v>
      </c>
      <c r="H3" s="65">
        <v>0.67865884529999998</v>
      </c>
      <c r="I3" s="65">
        <v>0.1183872405</v>
      </c>
      <c r="J3" s="65">
        <v>-9.1203591299999998E-2</v>
      </c>
      <c r="K3" s="65">
        <v>0.19478482150000001</v>
      </c>
      <c r="L3" s="65">
        <v>0.30294690499999999</v>
      </c>
      <c r="M3" s="65">
        <v>0.39009903239999999</v>
      </c>
      <c r="N3" s="64"/>
      <c r="O3" s="83">
        <f>$B3*C$2*C3/10000</f>
        <v>9.0962559999999998E-2</v>
      </c>
      <c r="P3" s="83">
        <f t="shared" ref="P3:Y13" si="0">$B3*D$2*D3/10000</f>
        <v>2.8144496490730881E-2</v>
      </c>
      <c r="Q3" s="83">
        <f t="shared" si="0"/>
        <v>1.1102618567748655E-2</v>
      </c>
      <c r="R3" s="83">
        <f t="shared" si="0"/>
        <v>5.7346749827415361E-3</v>
      </c>
      <c r="S3" s="83">
        <f t="shared" si="0"/>
        <v>1.5847747362267805E-2</v>
      </c>
      <c r="T3" s="83">
        <f t="shared" si="0"/>
        <v>8.0276871736600655E-2</v>
      </c>
      <c r="U3" s="83">
        <f t="shared" si="0"/>
        <v>1.8174146193013201E-3</v>
      </c>
      <c r="V3" s="83">
        <f t="shared" si="0"/>
        <v>-1.1002801254431999E-4</v>
      </c>
      <c r="W3" s="83">
        <f t="shared" si="0"/>
        <v>2.2553012520913164E-2</v>
      </c>
      <c r="X3" s="83">
        <f t="shared" si="0"/>
        <v>7.6859423244177605E-2</v>
      </c>
      <c r="Y3" s="83">
        <f t="shared" si="0"/>
        <v>2.6025035639611008E-2</v>
      </c>
      <c r="AA3" s="112">
        <f t="shared" ref="AA3:AA13" si="1">AVERAGE(O3:Y3)</f>
        <v>3.2655802468322573E-2</v>
      </c>
    </row>
    <row r="4" spans="1:27" x14ac:dyDescent="0.35">
      <c r="A4" t="s">
        <v>70</v>
      </c>
      <c r="B4" s="81">
        <v>23.69</v>
      </c>
      <c r="C4" s="65">
        <v>0.393910072</v>
      </c>
      <c r="D4" s="67">
        <v>1</v>
      </c>
      <c r="E4" s="65">
        <v>0.44383525340000002</v>
      </c>
      <c r="F4" s="65">
        <v>0.56563848299999997</v>
      </c>
      <c r="G4" s="65">
        <v>0.62536906729999997</v>
      </c>
      <c r="H4" s="65">
        <v>0.24395313499999999</v>
      </c>
      <c r="I4" s="65">
        <v>0.43524278659999999</v>
      </c>
      <c r="J4" s="65">
        <v>-0.19679121820000001</v>
      </c>
      <c r="K4" s="65">
        <v>0.67707644140000001</v>
      </c>
      <c r="L4" s="65">
        <v>0.69009107140000003</v>
      </c>
      <c r="M4" s="65">
        <v>0.35247609990000001</v>
      </c>
      <c r="N4" s="64"/>
      <c r="O4" s="83">
        <f t="shared" ref="O4:O13" si="2">$B4*C$2*C4/10000</f>
        <v>2.8144496490730881E-2</v>
      </c>
      <c r="P4" s="83">
        <f t="shared" si="0"/>
        <v>5.6121610000000009E-2</v>
      </c>
      <c r="Q4" s="83">
        <f t="shared" si="0"/>
        <v>2.1806984135417404E-2</v>
      </c>
      <c r="R4" s="83">
        <f t="shared" si="0"/>
        <v>8.2007851053092391E-3</v>
      </c>
      <c r="S4" s="83">
        <f t="shared" si="0"/>
        <v>1.3718683707216061E-2</v>
      </c>
      <c r="T4" s="83">
        <f t="shared" si="0"/>
        <v>2.2666217590684299E-2</v>
      </c>
      <c r="U4" s="83">
        <f t="shared" si="0"/>
        <v>5.2482489218079855E-3</v>
      </c>
      <c r="V4" s="83">
        <f t="shared" si="0"/>
        <v>-1.8647935836632002E-4</v>
      </c>
      <c r="W4" s="83">
        <f t="shared" si="0"/>
        <v>6.1577333102684678E-2</v>
      </c>
      <c r="X4" s="83">
        <f t="shared" si="0"/>
        <v>0.13752154193409202</v>
      </c>
      <c r="Y4" s="83">
        <f t="shared" si="0"/>
        <v>1.8470551280267776E-2</v>
      </c>
      <c r="AA4" s="112">
        <f t="shared" si="1"/>
        <v>3.3935452082713091E-2</v>
      </c>
    </row>
    <row r="5" spans="1:27" x14ac:dyDescent="0.35">
      <c r="A5" t="s">
        <v>73</v>
      </c>
      <c r="B5" s="81">
        <v>20.74</v>
      </c>
      <c r="C5" s="65">
        <v>0.17749467590000001</v>
      </c>
      <c r="D5" s="65">
        <v>0.44383525340000002</v>
      </c>
      <c r="E5" s="67">
        <v>1</v>
      </c>
      <c r="F5" s="65">
        <v>0.1465012805</v>
      </c>
      <c r="G5" s="65">
        <v>0.155352131</v>
      </c>
      <c r="H5" s="65">
        <v>2.4153084599999999E-2</v>
      </c>
      <c r="I5" s="65">
        <v>0.13438473619999999</v>
      </c>
      <c r="J5" s="65">
        <v>-5.7102218E-3</v>
      </c>
      <c r="K5" s="65">
        <v>0.35151122509999999</v>
      </c>
      <c r="L5" s="65">
        <v>0.43477399639999997</v>
      </c>
      <c r="M5" s="65">
        <v>0.3975307709</v>
      </c>
      <c r="N5" s="64"/>
      <c r="O5" s="83">
        <f t="shared" si="2"/>
        <v>1.1102618567748655E-2</v>
      </c>
      <c r="P5" s="83">
        <f t="shared" si="0"/>
        <v>2.1806984135417404E-2</v>
      </c>
      <c r="Q5" s="83">
        <f t="shared" si="0"/>
        <v>4.3014759999999992E-2</v>
      </c>
      <c r="R5" s="83">
        <f t="shared" si="0"/>
        <v>1.85952317323284E-3</v>
      </c>
      <c r="S5" s="83">
        <f t="shared" si="0"/>
        <v>2.9835749603664397E-3</v>
      </c>
      <c r="T5" s="83">
        <f t="shared" si="0"/>
        <v>1.9646669703968877E-3</v>
      </c>
      <c r="U5" s="83">
        <f t="shared" si="0"/>
        <v>1.4186539692530918E-3</v>
      </c>
      <c r="V5" s="83">
        <f t="shared" si="0"/>
        <v>-4.7372000052799995E-6</v>
      </c>
      <c r="W5" s="83">
        <f t="shared" si="0"/>
        <v>2.7987626042115583E-2</v>
      </c>
      <c r="X5" s="83">
        <f t="shared" si="0"/>
        <v>7.5852793109046426E-2</v>
      </c>
      <c r="Y5" s="83">
        <f t="shared" si="0"/>
        <v>1.8237471472886794E-2</v>
      </c>
      <c r="AA5" s="112">
        <f t="shared" si="1"/>
        <v>1.8747630472768985E-2</v>
      </c>
    </row>
    <row r="6" spans="1:27" x14ac:dyDescent="0.35">
      <c r="A6" t="s">
        <v>9</v>
      </c>
      <c r="B6" s="81">
        <v>6.12</v>
      </c>
      <c r="C6" s="65">
        <v>0.31068912329999998</v>
      </c>
      <c r="D6" s="65">
        <v>0.56563848299999997</v>
      </c>
      <c r="E6" s="65">
        <v>0.1465012805</v>
      </c>
      <c r="F6" s="67">
        <v>1</v>
      </c>
      <c r="G6" s="65">
        <v>0.75238576069999996</v>
      </c>
      <c r="H6" s="65">
        <v>8.3184087599999998E-2</v>
      </c>
      <c r="I6" s="65">
        <v>0.91565539080000002</v>
      </c>
      <c r="J6" s="65">
        <v>4.6169795499999999E-2</v>
      </c>
      <c r="K6" s="65">
        <v>0.57637839580000005</v>
      </c>
      <c r="L6" s="65">
        <v>0.24651978939999999</v>
      </c>
      <c r="M6" s="65">
        <v>0.23146450739999999</v>
      </c>
      <c r="N6" s="64"/>
      <c r="O6" s="83">
        <f t="shared" si="2"/>
        <v>5.7346749827415361E-3</v>
      </c>
      <c r="P6" s="83">
        <f t="shared" si="0"/>
        <v>8.2007851053092391E-3</v>
      </c>
      <c r="Q6" s="83">
        <f t="shared" si="0"/>
        <v>1.85952317323284E-3</v>
      </c>
      <c r="R6" s="83">
        <f t="shared" si="0"/>
        <v>3.7454400000000001E-3</v>
      </c>
      <c r="S6" s="83">
        <f t="shared" si="0"/>
        <v>4.2638603921781836E-3</v>
      </c>
      <c r="T6" s="83">
        <f t="shared" si="0"/>
        <v>1.9966377083912639E-3</v>
      </c>
      <c r="U6" s="83">
        <f t="shared" si="0"/>
        <v>2.8523397947732639E-3</v>
      </c>
      <c r="V6" s="83">
        <f t="shared" si="0"/>
        <v>1.1302365938400001E-5</v>
      </c>
      <c r="W6" s="83">
        <f t="shared" si="0"/>
        <v>1.3541825968234346E-2</v>
      </c>
      <c r="X6" s="83">
        <f t="shared" si="0"/>
        <v>1.2691193746808738E-2</v>
      </c>
      <c r="Y6" s="83">
        <f t="shared" si="0"/>
        <v>3.1334368810570562E-3</v>
      </c>
      <c r="AA6" s="112">
        <f t="shared" si="1"/>
        <v>5.2755472835149878E-3</v>
      </c>
    </row>
    <row r="7" spans="1:27" x14ac:dyDescent="0.35">
      <c r="A7" t="s">
        <v>7</v>
      </c>
      <c r="B7" s="81">
        <v>9.26</v>
      </c>
      <c r="C7" s="65">
        <v>0.56744688379999997</v>
      </c>
      <c r="D7" s="65">
        <v>0.62536906729999997</v>
      </c>
      <c r="E7" s="65">
        <v>0.155352131</v>
      </c>
      <c r="F7" s="65">
        <v>0.75238576069999996</v>
      </c>
      <c r="G7" s="67">
        <v>1</v>
      </c>
      <c r="H7" s="65">
        <v>0.33866609489999999</v>
      </c>
      <c r="I7" s="65">
        <v>0.60467914970000003</v>
      </c>
      <c r="J7" s="65">
        <v>-0.14854977599999999</v>
      </c>
      <c r="K7" s="65">
        <v>0.59486055449999997</v>
      </c>
      <c r="L7" s="65">
        <v>0.43050219509999998</v>
      </c>
      <c r="M7" s="65">
        <v>0.27567631069999998</v>
      </c>
      <c r="N7" s="64"/>
      <c r="O7" s="83">
        <f t="shared" si="2"/>
        <v>1.5847747362267805E-2</v>
      </c>
      <c r="P7" s="83">
        <f t="shared" si="0"/>
        <v>1.3718683707216061E-2</v>
      </c>
      <c r="Q7" s="83">
        <f t="shared" si="0"/>
        <v>2.9835749603664397E-3</v>
      </c>
      <c r="R7" s="83">
        <f t="shared" si="0"/>
        <v>4.2638603921781836E-3</v>
      </c>
      <c r="S7" s="83">
        <f t="shared" si="0"/>
        <v>8.574759999999999E-3</v>
      </c>
      <c r="T7" s="83">
        <f t="shared" si="0"/>
        <v>1.2299580408071626E-2</v>
      </c>
      <c r="U7" s="83">
        <f t="shared" si="0"/>
        <v>2.8500584234469979E-3</v>
      </c>
      <c r="V7" s="83">
        <f t="shared" si="0"/>
        <v>-5.5022837030399998E-5</v>
      </c>
      <c r="W7" s="83">
        <f t="shared" si="0"/>
        <v>2.1146781132398131E-2</v>
      </c>
      <c r="X7" s="83">
        <f t="shared" si="0"/>
        <v>3.3534020147577913E-2</v>
      </c>
      <c r="Y7" s="83">
        <f t="shared" si="0"/>
        <v>5.6467109532253833E-3</v>
      </c>
      <c r="AA7" s="112">
        <f t="shared" si="1"/>
        <v>1.0982795877247105E-2</v>
      </c>
    </row>
    <row r="8" spans="1:27" x14ac:dyDescent="0.35">
      <c r="A8" t="s">
        <v>75</v>
      </c>
      <c r="B8" s="81">
        <v>39.22</v>
      </c>
      <c r="C8" s="65">
        <v>0.67865884529999998</v>
      </c>
      <c r="D8" s="65">
        <v>0.24395313499999999</v>
      </c>
      <c r="E8" s="65">
        <v>2.4153084599999999E-2</v>
      </c>
      <c r="F8" s="65">
        <v>8.3184087599999998E-2</v>
      </c>
      <c r="G8" s="65">
        <v>0.33866609489999999</v>
      </c>
      <c r="H8" s="67">
        <v>1</v>
      </c>
      <c r="I8" s="65">
        <v>-0.12468922540000001</v>
      </c>
      <c r="J8" s="65">
        <v>-0.25525974089999998</v>
      </c>
      <c r="K8" s="65">
        <v>0.14723960790000001</v>
      </c>
      <c r="L8" s="65">
        <v>0.19470880309999999</v>
      </c>
      <c r="M8" s="65">
        <v>0.28316589559999999</v>
      </c>
      <c r="N8" s="64"/>
      <c r="O8" s="83">
        <f t="shared" si="2"/>
        <v>8.0276871736600655E-2</v>
      </c>
      <c r="P8" s="83">
        <f t="shared" si="0"/>
        <v>2.2666217590684299E-2</v>
      </c>
      <c r="Q8" s="83">
        <f t="shared" si="0"/>
        <v>1.9646669703968877E-3</v>
      </c>
      <c r="R8" s="83">
        <f t="shared" si="0"/>
        <v>1.9966377083912639E-3</v>
      </c>
      <c r="S8" s="83">
        <f t="shared" si="0"/>
        <v>1.2299580408071626E-2</v>
      </c>
      <c r="T8" s="83">
        <f t="shared" si="0"/>
        <v>0.15382083999999999</v>
      </c>
      <c r="U8" s="83">
        <f t="shared" si="0"/>
        <v>-2.4891685128756919E-3</v>
      </c>
      <c r="V8" s="83">
        <f t="shared" si="0"/>
        <v>-4.0045148152391999E-4</v>
      </c>
      <c r="W8" s="83">
        <f t="shared" si="0"/>
        <v>2.2169216962436084E-2</v>
      </c>
      <c r="X8" s="83">
        <f t="shared" si="0"/>
        <v>6.4238063514779786E-2</v>
      </c>
      <c r="Y8" s="83">
        <f t="shared" si="0"/>
        <v>2.4565955333055587E-2</v>
      </c>
      <c r="AA8" s="112">
        <f t="shared" si="1"/>
        <v>3.4646220930001512E-2</v>
      </c>
    </row>
    <row r="9" spans="1:27" x14ac:dyDescent="0.35">
      <c r="A9" t="s">
        <v>11</v>
      </c>
      <c r="B9" s="81">
        <v>5.09</v>
      </c>
      <c r="C9" s="65">
        <v>0.1183872405</v>
      </c>
      <c r="D9" s="65">
        <v>0.43524278659999999</v>
      </c>
      <c r="E9" s="65">
        <v>0.13438473619999999</v>
      </c>
      <c r="F9" s="65">
        <v>0.91565539080000002</v>
      </c>
      <c r="G9" s="65">
        <v>0.60467914970000003</v>
      </c>
      <c r="H9" s="65">
        <v>-0.12468922540000001</v>
      </c>
      <c r="I9" s="67">
        <v>1</v>
      </c>
      <c r="J9" s="65">
        <v>9.8172812700000001E-2</v>
      </c>
      <c r="K9" s="65">
        <v>0.50709622769999996</v>
      </c>
      <c r="L9" s="65">
        <v>0.1297518376</v>
      </c>
      <c r="M9" s="65">
        <v>0.20288246300000001</v>
      </c>
      <c r="N9" s="64"/>
      <c r="O9" s="83">
        <f t="shared" si="2"/>
        <v>1.8174146193013201E-3</v>
      </c>
      <c r="P9" s="83">
        <f t="shared" si="0"/>
        <v>5.2482489218079855E-3</v>
      </c>
      <c r="Q9" s="83">
        <f t="shared" si="0"/>
        <v>1.4186539692530918E-3</v>
      </c>
      <c r="R9" s="83">
        <f t="shared" si="0"/>
        <v>2.8523397947732639E-3</v>
      </c>
      <c r="S9" s="83">
        <f t="shared" si="0"/>
        <v>2.8500584234469979E-3</v>
      </c>
      <c r="T9" s="83">
        <f t="shared" si="0"/>
        <v>-2.4891685128756919E-3</v>
      </c>
      <c r="U9" s="83">
        <f t="shared" si="0"/>
        <v>2.5908099999999998E-3</v>
      </c>
      <c r="V9" s="83">
        <f t="shared" si="0"/>
        <v>1.9987984665720001E-5</v>
      </c>
      <c r="W9" s="83">
        <f t="shared" si="0"/>
        <v>9.9089189083341276E-3</v>
      </c>
      <c r="X9" s="83">
        <f t="shared" si="0"/>
        <v>5.5555948106662083E-3</v>
      </c>
      <c r="Y9" s="83">
        <f t="shared" si="0"/>
        <v>2.2842698815140404E-3</v>
      </c>
      <c r="AA9" s="112">
        <f t="shared" si="1"/>
        <v>2.9142844364442783E-3</v>
      </c>
    </row>
    <row r="10" spans="1:27" x14ac:dyDescent="0.35">
      <c r="A10" t="s">
        <v>76</v>
      </c>
      <c r="B10" s="81">
        <v>0.4</v>
      </c>
      <c r="C10" s="65">
        <v>-9.1203591299999998E-2</v>
      </c>
      <c r="D10" s="65">
        <v>-0.19679121820000001</v>
      </c>
      <c r="E10" s="65">
        <v>-5.7102218E-3</v>
      </c>
      <c r="F10" s="65">
        <v>4.6169795499999999E-2</v>
      </c>
      <c r="G10" s="65">
        <v>-0.14854977599999999</v>
      </c>
      <c r="H10" s="65">
        <v>-0.25525974089999998</v>
      </c>
      <c r="I10" s="65">
        <v>9.8172812700000001E-2</v>
      </c>
      <c r="J10" s="67">
        <v>1</v>
      </c>
      <c r="K10" s="65">
        <v>-0.14279669740000001</v>
      </c>
      <c r="L10" s="65">
        <v>-0.2419515065</v>
      </c>
      <c r="M10" s="65">
        <v>-0.28045832799999998</v>
      </c>
      <c r="N10" s="64"/>
      <c r="O10" s="83">
        <f t="shared" si="2"/>
        <v>-1.1002801254431999E-4</v>
      </c>
      <c r="P10" s="83">
        <f t="shared" si="0"/>
        <v>-1.8647935836632002E-4</v>
      </c>
      <c r="Q10" s="83">
        <f t="shared" si="0"/>
        <v>-4.7372000052799995E-6</v>
      </c>
      <c r="R10" s="83">
        <f t="shared" si="0"/>
        <v>1.1302365938400001E-5</v>
      </c>
      <c r="S10" s="83">
        <f t="shared" si="0"/>
        <v>-5.5022837030399998E-5</v>
      </c>
      <c r="T10" s="83">
        <f t="shared" si="0"/>
        <v>-4.0045148152391999E-4</v>
      </c>
      <c r="U10" s="83">
        <f t="shared" si="0"/>
        <v>1.9987984665720001E-5</v>
      </c>
      <c r="V10" s="83">
        <f t="shared" si="0"/>
        <v>1.6000000000000003E-5</v>
      </c>
      <c r="W10" s="83">
        <f t="shared" si="0"/>
        <v>-2.1927860852744002E-4</v>
      </c>
      <c r="X10" s="83">
        <f t="shared" si="0"/>
        <v>-8.1411842907120008E-4</v>
      </c>
      <c r="Y10" s="83">
        <f t="shared" si="0"/>
        <v>-2.481495286144E-4</v>
      </c>
      <c r="AA10" s="112">
        <f t="shared" si="1"/>
        <v>-1.8099773682537818E-4</v>
      </c>
    </row>
    <row r="11" spans="1:27" x14ac:dyDescent="0.35">
      <c r="A11" t="s">
        <v>71</v>
      </c>
      <c r="B11" s="81">
        <v>38.39</v>
      </c>
      <c r="C11" s="65">
        <v>0.19478482150000001</v>
      </c>
      <c r="D11" s="65">
        <v>0.67707644140000001</v>
      </c>
      <c r="E11" s="65">
        <v>0.35151122509999999</v>
      </c>
      <c r="F11" s="65">
        <v>0.57637839580000005</v>
      </c>
      <c r="G11" s="65">
        <v>0.59486055449999997</v>
      </c>
      <c r="H11" s="65">
        <v>0.14723960790000001</v>
      </c>
      <c r="I11" s="65">
        <v>0.50709622769999996</v>
      </c>
      <c r="J11" s="65">
        <v>-0.14279669740000001</v>
      </c>
      <c r="K11" s="67">
        <v>1</v>
      </c>
      <c r="L11" s="65">
        <v>0.71703543820000004</v>
      </c>
      <c r="M11" s="65">
        <v>0.1187331829</v>
      </c>
      <c r="N11" s="64"/>
      <c r="O11" s="83">
        <f t="shared" si="2"/>
        <v>2.2553012520913164E-2</v>
      </c>
      <c r="P11" s="83">
        <f t="shared" si="0"/>
        <v>6.1577333102684678E-2</v>
      </c>
      <c r="Q11" s="83">
        <f t="shared" si="0"/>
        <v>2.7987626042115583E-2</v>
      </c>
      <c r="R11" s="83">
        <f t="shared" si="0"/>
        <v>1.3541825968234346E-2</v>
      </c>
      <c r="S11" s="83">
        <f t="shared" si="0"/>
        <v>2.1146781132398131E-2</v>
      </c>
      <c r="T11" s="83">
        <f t="shared" si="0"/>
        <v>2.2169216962436084E-2</v>
      </c>
      <c r="U11" s="83">
        <f t="shared" si="0"/>
        <v>9.9089189083341276E-3</v>
      </c>
      <c r="V11" s="83">
        <f t="shared" si="0"/>
        <v>-2.1927860852744002E-4</v>
      </c>
      <c r="W11" s="83">
        <f t="shared" si="0"/>
        <v>0.14737921000000001</v>
      </c>
      <c r="X11" s="83">
        <f t="shared" si="0"/>
        <v>0.2315570438546532</v>
      </c>
      <c r="Y11" s="83">
        <f t="shared" si="0"/>
        <v>1.0082665164066572E-2</v>
      </c>
      <c r="AA11" s="112">
        <f t="shared" si="1"/>
        <v>5.1607668640664399E-2</v>
      </c>
    </row>
    <row r="12" spans="1:27" x14ac:dyDescent="0.35">
      <c r="A12" t="s">
        <v>72</v>
      </c>
      <c r="B12" s="81">
        <v>84.12</v>
      </c>
      <c r="C12" s="65">
        <v>0.30294690499999999</v>
      </c>
      <c r="D12" s="65">
        <v>0.69009107140000003</v>
      </c>
      <c r="E12" s="65">
        <v>0.43477399639999997</v>
      </c>
      <c r="F12" s="65">
        <v>0.24651978939999999</v>
      </c>
      <c r="G12" s="65">
        <v>0.43050219509999998</v>
      </c>
      <c r="H12" s="65">
        <v>0.19470880309999999</v>
      </c>
      <c r="I12" s="65">
        <v>0.1297518376</v>
      </c>
      <c r="J12" s="65">
        <v>-0.2419515065</v>
      </c>
      <c r="K12" s="65">
        <v>0.71703543820000004</v>
      </c>
      <c r="L12" s="67">
        <v>1</v>
      </c>
      <c r="M12" s="65">
        <v>0.1868635733</v>
      </c>
      <c r="N12" s="64"/>
      <c r="O12" s="83">
        <f t="shared" si="2"/>
        <v>7.6859423244177605E-2</v>
      </c>
      <c r="P12" s="83">
        <f t="shared" si="0"/>
        <v>0.13752154193409202</v>
      </c>
      <c r="Q12" s="83">
        <f t="shared" si="0"/>
        <v>7.5852793109046426E-2</v>
      </c>
      <c r="R12" s="83">
        <f t="shared" si="0"/>
        <v>1.2691193746808738E-2</v>
      </c>
      <c r="S12" s="83">
        <f t="shared" si="0"/>
        <v>3.3534020147577913E-2</v>
      </c>
      <c r="T12" s="83">
        <f t="shared" si="0"/>
        <v>6.4238063514779786E-2</v>
      </c>
      <c r="U12" s="83">
        <f t="shared" si="0"/>
        <v>5.5555948106662083E-3</v>
      </c>
      <c r="V12" s="83">
        <f t="shared" si="0"/>
        <v>-8.1411842907120008E-4</v>
      </c>
      <c r="W12" s="83">
        <f t="shared" si="0"/>
        <v>0.2315570438546532</v>
      </c>
      <c r="X12" s="83">
        <f t="shared" si="0"/>
        <v>0.70761744000000004</v>
      </c>
      <c r="Y12" s="83">
        <f t="shared" si="0"/>
        <v>3.477034789462316E-2</v>
      </c>
      <c r="AA12" s="112">
        <f t="shared" si="1"/>
        <v>0.12539848580248669</v>
      </c>
    </row>
    <row r="13" spans="1:27" x14ac:dyDescent="0.35">
      <c r="A13" t="s">
        <v>74</v>
      </c>
      <c r="B13" s="81">
        <v>22.12</v>
      </c>
      <c r="C13" s="65">
        <v>0.39009903239999999</v>
      </c>
      <c r="D13" s="65">
        <v>0.35247609990000001</v>
      </c>
      <c r="E13" s="65">
        <v>0.3975307709</v>
      </c>
      <c r="F13" s="65">
        <v>0.23146450739999999</v>
      </c>
      <c r="G13" s="65">
        <v>0.27567631069999998</v>
      </c>
      <c r="H13" s="65">
        <v>0.28316589559999999</v>
      </c>
      <c r="I13" s="65">
        <v>0.20288246300000001</v>
      </c>
      <c r="J13" s="65">
        <v>-0.28045832799999998</v>
      </c>
      <c r="K13" s="65">
        <v>0.1187331829</v>
      </c>
      <c r="L13" s="65">
        <v>0.1868635733</v>
      </c>
      <c r="M13" s="67">
        <v>1</v>
      </c>
      <c r="N13" s="64"/>
      <c r="O13" s="83">
        <f t="shared" si="2"/>
        <v>2.6025035639611008E-2</v>
      </c>
      <c r="P13" s="83">
        <f t="shared" si="0"/>
        <v>1.8470551280267776E-2</v>
      </c>
      <c r="Q13" s="83">
        <f t="shared" si="0"/>
        <v>1.8237471472886794E-2</v>
      </c>
      <c r="R13" s="83">
        <f t="shared" si="0"/>
        <v>3.1334368810570562E-3</v>
      </c>
      <c r="S13" s="83">
        <f t="shared" si="0"/>
        <v>5.6467109532253833E-3</v>
      </c>
      <c r="T13" s="83">
        <f t="shared" si="0"/>
        <v>2.4565955333055587E-2</v>
      </c>
      <c r="U13" s="83">
        <f t="shared" si="0"/>
        <v>2.2842698815140404E-3</v>
      </c>
      <c r="V13" s="83">
        <f t="shared" si="0"/>
        <v>-2.481495286144E-4</v>
      </c>
      <c r="W13" s="83">
        <f t="shared" si="0"/>
        <v>1.0082665164066572E-2</v>
      </c>
      <c r="X13" s="83">
        <f t="shared" si="0"/>
        <v>3.477034789462316E-2</v>
      </c>
      <c r="Y13" s="83">
        <f t="shared" si="0"/>
        <v>4.8929440000000005E-2</v>
      </c>
      <c r="AA13" s="112">
        <f t="shared" si="1"/>
        <v>1.7445248633790267E-2</v>
      </c>
    </row>
    <row r="14" spans="1:27" x14ac:dyDescent="0.35">
      <c r="O14" s="68"/>
      <c r="P14" s="68"/>
      <c r="Q14" s="68"/>
      <c r="R14" s="68"/>
      <c r="S14" s="68"/>
      <c r="T14" s="68"/>
      <c r="U14" s="68"/>
      <c r="V14" s="68"/>
      <c r="W14" s="68"/>
      <c r="X14" s="68"/>
      <c r="Y14" s="68"/>
    </row>
  </sheetData>
  <sortState ref="A3:AC13">
    <sortCondition ref="N3:N13"/>
  </sortState>
  <conditionalFormatting sqref="AA3:AA13">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7812-1F3E-447D-8AF3-96AA4E2D3A97}">
  <dimension ref="A2:U15"/>
  <sheetViews>
    <sheetView zoomScale="130" zoomScaleNormal="130" workbookViewId="0">
      <selection activeCell="B4" sqref="B4"/>
    </sheetView>
  </sheetViews>
  <sheetFormatPr defaultRowHeight="14.5" x14ac:dyDescent="0.35"/>
  <cols>
    <col min="1" max="1" width="21.36328125" style="8" customWidth="1"/>
    <col min="2" max="2" width="25.90625" style="8" bestFit="1" customWidth="1"/>
    <col min="3" max="4" width="8.7265625" style="8"/>
    <col min="5" max="5" width="9.26953125" style="8" customWidth="1"/>
    <col min="6" max="7" width="8.7265625" style="8"/>
    <col min="8" max="8" width="13.54296875" style="8" customWidth="1"/>
    <col min="9" max="9" width="8.7265625" style="8"/>
    <col min="10" max="11" width="9.453125" style="8" customWidth="1"/>
    <col min="12" max="16384" width="8.7265625" style="8"/>
  </cols>
  <sheetData>
    <row r="2" spans="1:21" s="39" customFormat="1" ht="44" customHeight="1" thickBot="1" x14ac:dyDescent="0.4">
      <c r="B2" s="75" t="s">
        <v>22</v>
      </c>
      <c r="C2" s="92" t="s">
        <v>23</v>
      </c>
      <c r="D2" s="108" t="s">
        <v>24</v>
      </c>
      <c r="E2" s="92" t="s">
        <v>158</v>
      </c>
      <c r="F2" s="92" t="s">
        <v>159</v>
      </c>
      <c r="G2" s="92" t="s">
        <v>160</v>
      </c>
      <c r="H2" s="8"/>
      <c r="I2" s="103" t="s">
        <v>156</v>
      </c>
      <c r="J2" s="103" t="s">
        <v>161</v>
      </c>
      <c r="K2" s="103" t="s">
        <v>157</v>
      </c>
      <c r="P2"/>
      <c r="Q2"/>
      <c r="R2"/>
      <c r="S2"/>
      <c r="T2"/>
      <c r="U2"/>
    </row>
    <row r="3" spans="1:21" x14ac:dyDescent="0.35">
      <c r="A3" s="5" t="s">
        <v>108</v>
      </c>
      <c r="B3" s="8" t="s">
        <v>16</v>
      </c>
      <c r="C3" s="10" t="s">
        <v>4</v>
      </c>
      <c r="D3" s="156">
        <v>255.29</v>
      </c>
      <c r="E3" s="2">
        <v>0.1</v>
      </c>
      <c r="F3" s="2">
        <v>0.08</v>
      </c>
      <c r="G3" s="2">
        <v>0.12</v>
      </c>
      <c r="I3" s="158">
        <f t="shared" ref="I3:I12" si="0">E3*(1-$I$13)/(1-$E$13)</f>
        <v>9.6938775510204078E-2</v>
      </c>
      <c r="J3" s="14">
        <f t="shared" ref="J3:J12" si="1">F3*(1-$I$13)/(1-$E$13)</f>
        <v>7.7551020408163265E-2</v>
      </c>
      <c r="K3" s="14">
        <f t="shared" ref="K3:K12" si="2">G3*(1-$I$13)/(1-$E$13)</f>
        <v>0.11632653061224489</v>
      </c>
      <c r="P3"/>
      <c r="Q3"/>
      <c r="R3"/>
      <c r="S3"/>
      <c r="T3"/>
      <c r="U3"/>
    </row>
    <row r="4" spans="1:21" x14ac:dyDescent="0.35">
      <c r="A4" s="8" t="s">
        <v>154</v>
      </c>
      <c r="B4" s="8" t="s">
        <v>17</v>
      </c>
      <c r="C4" s="10" t="s">
        <v>5</v>
      </c>
      <c r="D4" s="156">
        <v>94.9</v>
      </c>
      <c r="E4" s="2">
        <v>0.1</v>
      </c>
      <c r="F4" s="2">
        <v>0.08</v>
      </c>
      <c r="G4" s="2">
        <v>0.12</v>
      </c>
      <c r="I4" s="158">
        <f t="shared" si="0"/>
        <v>9.6938775510204078E-2</v>
      </c>
      <c r="J4" s="14">
        <f t="shared" si="1"/>
        <v>7.7551020408163265E-2</v>
      </c>
      <c r="K4" s="14">
        <f t="shared" si="2"/>
        <v>0.11632653061224489</v>
      </c>
      <c r="P4"/>
      <c r="Q4"/>
      <c r="R4"/>
      <c r="S4"/>
      <c r="T4"/>
      <c r="U4"/>
    </row>
    <row r="5" spans="1:21" x14ac:dyDescent="0.35">
      <c r="A5" s="8" t="s">
        <v>155</v>
      </c>
      <c r="B5" s="8" t="s">
        <v>14</v>
      </c>
      <c r="C5" s="10" t="s">
        <v>13</v>
      </c>
      <c r="D5" s="156">
        <v>143.66</v>
      </c>
      <c r="E5" s="2">
        <v>0.1</v>
      </c>
      <c r="F5" s="2">
        <v>0.08</v>
      </c>
      <c r="G5" s="2">
        <v>0.12</v>
      </c>
      <c r="I5" s="158">
        <f t="shared" si="0"/>
        <v>9.6938775510204078E-2</v>
      </c>
      <c r="J5" s="14">
        <f t="shared" si="1"/>
        <v>7.7551020408163265E-2</v>
      </c>
      <c r="K5" s="14">
        <f t="shared" si="2"/>
        <v>0.11632653061224489</v>
      </c>
      <c r="P5"/>
      <c r="Q5"/>
      <c r="R5"/>
      <c r="S5"/>
      <c r="T5"/>
      <c r="U5"/>
    </row>
    <row r="6" spans="1:21" x14ac:dyDescent="0.35">
      <c r="B6" s="8" t="s">
        <v>15</v>
      </c>
      <c r="C6" s="10" t="s">
        <v>6</v>
      </c>
      <c r="D6" s="156">
        <v>197.79</v>
      </c>
      <c r="E6" s="2">
        <v>0.1</v>
      </c>
      <c r="F6" s="2">
        <v>0.08</v>
      </c>
      <c r="G6" s="2">
        <v>0.12</v>
      </c>
      <c r="I6" s="158">
        <f t="shared" si="0"/>
        <v>9.6938775510204078E-2</v>
      </c>
      <c r="J6" s="14">
        <f t="shared" si="1"/>
        <v>7.7551020408163265E-2</v>
      </c>
      <c r="K6" s="14">
        <f t="shared" si="2"/>
        <v>0.11632653061224489</v>
      </c>
      <c r="P6"/>
      <c r="Q6"/>
      <c r="R6"/>
      <c r="S6"/>
      <c r="T6"/>
      <c r="U6"/>
    </row>
    <row r="7" spans="1:21" x14ac:dyDescent="0.35">
      <c r="A7" s="6"/>
      <c r="B7" s="8" t="s">
        <v>18</v>
      </c>
      <c r="C7" s="10" t="s">
        <v>19</v>
      </c>
      <c r="D7" s="156">
        <v>140.66999999999999</v>
      </c>
      <c r="E7" s="73">
        <v>0.1</v>
      </c>
      <c r="F7" s="73">
        <v>0.08</v>
      </c>
      <c r="G7" s="73">
        <v>0.12</v>
      </c>
      <c r="I7" s="158">
        <f t="shared" si="0"/>
        <v>9.6938775510204078E-2</v>
      </c>
      <c r="J7" s="28">
        <f t="shared" si="1"/>
        <v>7.7551020408163265E-2</v>
      </c>
      <c r="K7" s="28">
        <f t="shared" si="2"/>
        <v>0.11632653061224489</v>
      </c>
      <c r="P7"/>
      <c r="Q7"/>
      <c r="R7"/>
      <c r="S7"/>
      <c r="T7"/>
      <c r="U7"/>
    </row>
    <row r="8" spans="1:21" x14ac:dyDescent="0.35">
      <c r="B8" s="8" t="s">
        <v>21</v>
      </c>
      <c r="C8" s="10" t="s">
        <v>20</v>
      </c>
      <c r="D8" s="156">
        <v>81.81</v>
      </c>
      <c r="E8" s="73">
        <v>0.1</v>
      </c>
      <c r="F8" s="73">
        <v>0.08</v>
      </c>
      <c r="G8" s="73">
        <v>0.12</v>
      </c>
      <c r="I8" s="158">
        <f t="shared" si="0"/>
        <v>9.6938775510204078E-2</v>
      </c>
      <c r="J8" s="28">
        <f t="shared" si="1"/>
        <v>7.7551020408163265E-2</v>
      </c>
      <c r="K8" s="28">
        <f t="shared" si="2"/>
        <v>0.11632653061224489</v>
      </c>
      <c r="P8"/>
      <c r="Q8"/>
      <c r="R8"/>
      <c r="S8"/>
      <c r="T8"/>
      <c r="U8"/>
    </row>
    <row r="9" spans="1:21" x14ac:dyDescent="0.35">
      <c r="B9" s="93" t="s">
        <v>26</v>
      </c>
      <c r="C9" s="94" t="s">
        <v>25</v>
      </c>
      <c r="D9" s="157">
        <v>112.81</v>
      </c>
      <c r="E9" s="155">
        <v>0.1</v>
      </c>
      <c r="F9" s="155">
        <v>0.08</v>
      </c>
      <c r="G9" s="155">
        <v>0.12</v>
      </c>
      <c r="I9" s="159">
        <f t="shared" si="0"/>
        <v>9.6938775510204078E-2</v>
      </c>
      <c r="J9" s="97">
        <f t="shared" si="1"/>
        <v>7.7551020408163265E-2</v>
      </c>
      <c r="K9" s="97">
        <f t="shared" si="2"/>
        <v>0.11632653061224489</v>
      </c>
      <c r="P9"/>
      <c r="Q9"/>
      <c r="R9"/>
      <c r="S9"/>
      <c r="T9"/>
      <c r="U9"/>
    </row>
    <row r="10" spans="1:21" x14ac:dyDescent="0.35">
      <c r="B10" s="8" t="s">
        <v>68</v>
      </c>
      <c r="C10" s="10" t="s">
        <v>8</v>
      </c>
      <c r="D10" s="156">
        <v>77.84</v>
      </c>
      <c r="E10" s="2">
        <v>0.1</v>
      </c>
      <c r="F10" s="2">
        <v>0.08</v>
      </c>
      <c r="G10" s="2">
        <v>0.12</v>
      </c>
      <c r="I10" s="158">
        <f t="shared" si="0"/>
        <v>9.6938775510204078E-2</v>
      </c>
      <c r="J10" s="14">
        <f t="shared" si="1"/>
        <v>7.7551020408163265E-2</v>
      </c>
      <c r="K10" s="14">
        <f t="shared" si="2"/>
        <v>0.11632653061224489</v>
      </c>
      <c r="P10"/>
      <c r="Q10"/>
      <c r="R10"/>
      <c r="S10"/>
      <c r="T10"/>
      <c r="U10"/>
    </row>
    <row r="11" spans="1:21" x14ac:dyDescent="0.35">
      <c r="B11" s="8" t="s">
        <v>9</v>
      </c>
      <c r="C11" s="10" t="s">
        <v>10</v>
      </c>
      <c r="D11" s="156">
        <v>92.49</v>
      </c>
      <c r="E11" s="2">
        <v>0.1</v>
      </c>
      <c r="F11" s="2">
        <v>0.08</v>
      </c>
      <c r="G11" s="2">
        <v>0.12</v>
      </c>
      <c r="I11" s="158">
        <f t="shared" si="0"/>
        <v>9.6938775510204078E-2</v>
      </c>
      <c r="J11" s="14">
        <f t="shared" si="1"/>
        <v>7.7551020408163265E-2</v>
      </c>
      <c r="K11" s="14">
        <f t="shared" si="2"/>
        <v>0.11632653061224489</v>
      </c>
      <c r="P11"/>
      <c r="Q11"/>
      <c r="R11"/>
      <c r="S11"/>
      <c r="T11"/>
      <c r="U11"/>
    </row>
    <row r="12" spans="1:21" x14ac:dyDescent="0.35">
      <c r="B12" s="8" t="s">
        <v>69</v>
      </c>
      <c r="C12" s="10" t="s">
        <v>12</v>
      </c>
      <c r="D12" s="156">
        <v>27.98</v>
      </c>
      <c r="E12" s="2">
        <v>0.08</v>
      </c>
      <c r="F12" s="2">
        <v>0.06</v>
      </c>
      <c r="G12" s="2">
        <v>0.1</v>
      </c>
      <c r="I12" s="158">
        <f t="shared" si="0"/>
        <v>7.7551020408163265E-2</v>
      </c>
      <c r="J12" s="14">
        <f t="shared" si="1"/>
        <v>5.8163265306122446E-2</v>
      </c>
      <c r="K12" s="14">
        <f t="shared" si="2"/>
        <v>9.6938775510204078E-2</v>
      </c>
    </row>
    <row r="13" spans="1:21" x14ac:dyDescent="0.35">
      <c r="B13" s="8" t="s">
        <v>65</v>
      </c>
      <c r="C13" s="10" t="s">
        <v>65</v>
      </c>
      <c r="D13" s="156">
        <v>1</v>
      </c>
      <c r="E13" s="2">
        <v>0.02</v>
      </c>
      <c r="F13" s="2">
        <v>6.0000000000000001E-3</v>
      </c>
      <c r="G13" s="2">
        <v>0.04</v>
      </c>
      <c r="I13" s="154">
        <v>0.05</v>
      </c>
      <c r="J13" s="14">
        <f>I13-(E13-F13)</f>
        <v>3.6000000000000004E-2</v>
      </c>
      <c r="K13" s="14">
        <f>I13+(G13-E13)</f>
        <v>7.0000000000000007E-2</v>
      </c>
    </row>
    <row r="14" spans="1:21" ht="5.15" customHeight="1" x14ac:dyDescent="0.35">
      <c r="I14" s="16"/>
      <c r="J14" s="16"/>
      <c r="K14" s="16"/>
    </row>
    <row r="15" spans="1:21" x14ac:dyDescent="0.35">
      <c r="E15" s="2">
        <f>SUM(E3:E13)</f>
        <v>0.99999999999999989</v>
      </c>
      <c r="F15" s="2"/>
      <c r="G15" s="2"/>
      <c r="I15" s="14">
        <f>SUM(I3:I13)</f>
        <v>1</v>
      </c>
      <c r="J15" s="14"/>
      <c r="K15" s="1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Overview - Text</vt:lpstr>
      <vt:lpstr>Cash Contrib Math</vt:lpstr>
      <vt:lpstr>OOT Trade Math</vt:lpstr>
      <vt:lpstr>Risk Stats for Calcs (orig ord)</vt:lpstr>
      <vt:lpstr>Risk Stat Calcs (offage order)</vt:lpstr>
      <vt:lpstr>Adjusting for Cash Min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Huckstep</dc:creator>
  <cp:lastModifiedBy>Brian Huckstep New</cp:lastModifiedBy>
  <dcterms:created xsi:type="dcterms:W3CDTF">2023-03-06T03:15:35Z</dcterms:created>
  <dcterms:modified xsi:type="dcterms:W3CDTF">2023-03-10T23:23:55Z</dcterms:modified>
</cp:coreProperties>
</file>